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C:\Users\aze\Documents\Site 1\projets\"/>
    </mc:Choice>
  </mc:AlternateContent>
  <xr:revisionPtr revIDLastSave="0" documentId="8_{AA02AE24-9D87-459D-87FB-1C5DC352DA9B}" xr6:coauthVersionLast="47" xr6:coauthVersionMax="47" xr10:uidLastSave="{00000000-0000-0000-0000-000000000000}"/>
  <bookViews>
    <workbookView xWindow="1560" yWindow="1560" windowWidth="21600" windowHeight="11385" tabRatio="935" firstSheet="17" activeTab="22" xr2:uid="{49D54FC4-9B29-4181-AE75-E3D9FCC91BE7}"/>
  </bookViews>
  <sheets>
    <sheet name="HYP 1 " sheetId="41" r:id="rId1"/>
    <sheet name="Bilan et CDR N" sheetId="1" r:id="rId2"/>
    <sheet name="Feuil1" sheetId="37" r:id="rId3"/>
    <sheet name="Feuil2" sheetId="38" r:id="rId4"/>
    <sheet name="Feuil3" sheetId="39" r:id="rId5"/>
    <sheet name="Budget Prev 3 années SANS PRECO" sheetId="6" r:id="rId6"/>
    <sheet name="Bilan et CDR N+1" sheetId="5" state="hidden" r:id="rId7"/>
    <sheet name="Bilan et CDR N+1 (2)" sheetId="16" state="hidden" r:id="rId8"/>
    <sheet name="N+2 " sheetId="7" state="hidden" r:id="rId9"/>
    <sheet name="Bilan et CDR N+2" sheetId="8" state="hidden" r:id="rId10"/>
    <sheet name="N+3" sheetId="9" state="hidden" r:id="rId11"/>
    <sheet name="Bilan et CDR N+3" sheetId="10" state="hidden" r:id="rId12"/>
    <sheet name="Emprunt" sheetId="3" r:id="rId13"/>
    <sheet name="Informations" sheetId="11" r:id="rId14"/>
    <sheet name="Hyp1" sheetId="12" state="hidden" r:id="rId15"/>
    <sheet name="Hypothèse | 2 ans" sheetId="32" r:id="rId16"/>
    <sheet name="Hyp | 2 ans + Crédit Bail" sheetId="33" r:id="rId17"/>
    <sheet name="Hyp | 2 ans + CB + Comptant" sheetId="24" r:id="rId18"/>
    <sheet name="Hypothèse | 3 ans" sheetId="14" r:id="rId19"/>
    <sheet name="Hyp | 3 ans + Crédit Bail" sheetId="22" r:id="rId20"/>
    <sheet name="Plan de financement" sheetId="13" state="hidden" r:id="rId21"/>
    <sheet name="Hyp retenue | 3 ans + CB+ Compt" sheetId="26" r:id="rId22"/>
    <sheet name="Plan de financement définitif" sheetId="36" r:id="rId2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9" i="6" l="1"/>
  <c r="P8" i="41"/>
  <c r="D8" i="41"/>
  <c r="E8" i="41"/>
  <c r="F8" i="41"/>
  <c r="G8" i="41"/>
  <c r="H8" i="41"/>
  <c r="I8" i="41"/>
  <c r="J8" i="41"/>
  <c r="K8" i="41"/>
  <c r="L8" i="41"/>
  <c r="M8" i="41"/>
  <c r="N8" i="41"/>
  <c r="C8" i="41"/>
  <c r="D5" i="41"/>
  <c r="E5" i="41"/>
  <c r="F5" i="41"/>
  <c r="G5" i="41"/>
  <c r="H5" i="41"/>
  <c r="I5" i="41"/>
  <c r="J5" i="41"/>
  <c r="K5" i="41"/>
  <c r="L5" i="41"/>
  <c r="M5" i="41"/>
  <c r="N5" i="41"/>
  <c r="C5" i="41"/>
  <c r="X6" i="41"/>
  <c r="T8" i="41"/>
  <c r="T9" i="41"/>
  <c r="T10" i="41"/>
  <c r="T11" i="41"/>
  <c r="T12" i="41"/>
  <c r="T16" i="41"/>
  <c r="T27" i="41"/>
  <c r="T29" i="41"/>
  <c r="U28" i="41"/>
  <c r="U27" i="41" s="1"/>
  <c r="U29" i="41"/>
  <c r="X34" i="41"/>
  <c r="X30" i="41"/>
  <c r="T95" i="41"/>
  <c r="T96" i="41"/>
  <c r="T97" i="41"/>
  <c r="T98" i="41"/>
  <c r="T99" i="41"/>
  <c r="T103" i="41"/>
  <c r="T115" i="41"/>
  <c r="T206" i="41" s="1"/>
  <c r="T116" i="41"/>
  <c r="T207" i="41" s="1"/>
  <c r="U115" i="41"/>
  <c r="U206" i="41" s="1"/>
  <c r="U116" i="41"/>
  <c r="U207" i="41" s="1"/>
  <c r="X121" i="41"/>
  <c r="X122" i="41"/>
  <c r="T185" i="41"/>
  <c r="T186" i="41"/>
  <c r="T187" i="41"/>
  <c r="T188" i="41"/>
  <c r="T189" i="41"/>
  <c r="T195" i="41"/>
  <c r="T193" i="41"/>
  <c r="X400" i="41"/>
  <c r="X399" i="41"/>
  <c r="X397" i="41" s="1"/>
  <c r="X398" i="41"/>
  <c r="V398" i="41"/>
  <c r="U397" i="41"/>
  <c r="X394" i="41"/>
  <c r="U393" i="41"/>
  <c r="U391" i="41" s="1"/>
  <c r="U402" i="41" s="1"/>
  <c r="T393" i="41"/>
  <c r="U392" i="41"/>
  <c r="V392" i="41" s="1"/>
  <c r="T391" i="41"/>
  <c r="T380" i="41"/>
  <c r="T381" i="41" s="1"/>
  <c r="T382" i="41" s="1"/>
  <c r="T376" i="41"/>
  <c r="T375" i="41"/>
  <c r="T374" i="41"/>
  <c r="T373" i="41"/>
  <c r="T372" i="41"/>
  <c r="X306" i="41"/>
  <c r="X305" i="41"/>
  <c r="X303" i="41" s="1"/>
  <c r="X304" i="41"/>
  <c r="V304" i="41"/>
  <c r="U303" i="41"/>
  <c r="X300" i="41"/>
  <c r="U299" i="41"/>
  <c r="U297" i="41" s="1"/>
  <c r="U308" i="41" s="1"/>
  <c r="T299" i="41"/>
  <c r="U298" i="41"/>
  <c r="V298" i="41" s="1"/>
  <c r="T297" i="41"/>
  <c r="T288" i="41"/>
  <c r="T287" i="41"/>
  <c r="T286" i="41"/>
  <c r="T282" i="41"/>
  <c r="T281" i="41"/>
  <c r="T280" i="41"/>
  <c r="T279" i="41"/>
  <c r="T278" i="41"/>
  <c r="V393" i="41" l="1"/>
  <c r="V391" i="41" s="1"/>
  <c r="V299" i="41"/>
  <c r="V297" i="41" s="1"/>
  <c r="C449" i="41" l="1"/>
  <c r="N443" i="41"/>
  <c r="M443" i="41"/>
  <c r="L443" i="41"/>
  <c r="K443" i="41"/>
  <c r="J443" i="41"/>
  <c r="I443" i="41"/>
  <c r="H443" i="41"/>
  <c r="G443" i="41"/>
  <c r="F443" i="41"/>
  <c r="E443" i="41"/>
  <c r="D443" i="41"/>
  <c r="C443" i="41"/>
  <c r="C430" i="41"/>
  <c r="C447" i="41" s="1"/>
  <c r="E427" i="41"/>
  <c r="L417" i="41"/>
  <c r="L446" i="41" s="1"/>
  <c r="K417" i="41"/>
  <c r="K446" i="41" s="1"/>
  <c r="D417" i="41"/>
  <c r="D446" i="41" s="1"/>
  <c r="N416" i="41"/>
  <c r="N427" i="41" s="1"/>
  <c r="M416" i="41"/>
  <c r="M427" i="41" s="1"/>
  <c r="L416" i="41"/>
  <c r="L427" i="41" s="1"/>
  <c r="K416" i="41"/>
  <c r="K427" i="41" s="1"/>
  <c r="J416" i="41"/>
  <c r="J417" i="41" s="1"/>
  <c r="I416" i="41"/>
  <c r="I417" i="41" s="1"/>
  <c r="H416" i="41"/>
  <c r="H427" i="41" s="1"/>
  <c r="G416" i="41"/>
  <c r="G427" i="41" s="1"/>
  <c r="F416" i="41"/>
  <c r="F417" i="41" s="1"/>
  <c r="F418" i="41" s="1"/>
  <c r="E416" i="41"/>
  <c r="E417" i="41" s="1"/>
  <c r="E418" i="41" s="1"/>
  <c r="D416" i="41"/>
  <c r="D427" i="41" s="1"/>
  <c r="C415" i="41"/>
  <c r="C416" i="41" s="1"/>
  <c r="P408" i="41"/>
  <c r="N408" i="41"/>
  <c r="M408" i="41"/>
  <c r="L408" i="41"/>
  <c r="P407" i="41"/>
  <c r="M407" i="41"/>
  <c r="M409" i="41" s="1"/>
  <c r="M445" i="41" s="1"/>
  <c r="L407" i="41"/>
  <c r="L409" i="41" s="1"/>
  <c r="L445" i="41" s="1"/>
  <c r="C407" i="41"/>
  <c r="P405" i="41"/>
  <c r="C399" i="41"/>
  <c r="C442" i="41" s="1"/>
  <c r="N398" i="41"/>
  <c r="P399" i="41" s="1"/>
  <c r="H398" i="41"/>
  <c r="I399" i="41" s="1"/>
  <c r="I442" i="41" s="1"/>
  <c r="H397" i="41"/>
  <c r="H441" i="41" s="1"/>
  <c r="N396" i="41"/>
  <c r="N397" i="41" s="1"/>
  <c r="N441" i="41" s="1"/>
  <c r="M396" i="41"/>
  <c r="M398" i="41" s="1"/>
  <c r="N399" i="41" s="1"/>
  <c r="N442" i="41" s="1"/>
  <c r="L396" i="41"/>
  <c r="L397" i="41" s="1"/>
  <c r="L441" i="41" s="1"/>
  <c r="K396" i="41"/>
  <c r="K397" i="41" s="1"/>
  <c r="K441" i="41" s="1"/>
  <c r="J396" i="41"/>
  <c r="J397" i="41" s="1"/>
  <c r="J441" i="41" s="1"/>
  <c r="I396" i="41"/>
  <c r="I397" i="41" s="1"/>
  <c r="I441" i="41" s="1"/>
  <c r="H396" i="41"/>
  <c r="G396" i="41"/>
  <c r="G397" i="41" s="1"/>
  <c r="G441" i="41" s="1"/>
  <c r="F396" i="41"/>
  <c r="F397" i="41" s="1"/>
  <c r="F441" i="41" s="1"/>
  <c r="E396" i="41"/>
  <c r="E397" i="41" s="1"/>
  <c r="D396" i="41"/>
  <c r="D398" i="41" s="1"/>
  <c r="E399" i="41" s="1"/>
  <c r="E442" i="41" s="1"/>
  <c r="C396" i="41"/>
  <c r="C397" i="41" s="1"/>
  <c r="C441" i="41" s="1"/>
  <c r="M395" i="41"/>
  <c r="L395" i="41"/>
  <c r="K395" i="41"/>
  <c r="J395" i="41"/>
  <c r="I395" i="41"/>
  <c r="H395" i="41"/>
  <c r="G395" i="41"/>
  <c r="F395" i="41"/>
  <c r="E395" i="41"/>
  <c r="D395" i="41"/>
  <c r="C395" i="41"/>
  <c r="P394" i="41"/>
  <c r="N394" i="41"/>
  <c r="N393" i="41"/>
  <c r="P393" i="41" s="1"/>
  <c r="N392" i="41"/>
  <c r="P392" i="41" s="1"/>
  <c r="J390" i="41"/>
  <c r="J444" i="41" s="1"/>
  <c r="L389" i="41"/>
  <c r="K389" i="41"/>
  <c r="J389" i="41"/>
  <c r="C389" i="41"/>
  <c r="N388" i="41"/>
  <c r="N390" i="41" s="1"/>
  <c r="N444" i="41" s="1"/>
  <c r="M388" i="41"/>
  <c r="M390" i="41" s="1"/>
  <c r="M444" i="41" s="1"/>
  <c r="L388" i="41"/>
  <c r="L426" i="41" s="1"/>
  <c r="K388" i="41"/>
  <c r="K426" i="41" s="1"/>
  <c r="J388" i="41"/>
  <c r="J426" i="41" s="1"/>
  <c r="I388" i="41"/>
  <c r="I426" i="41" s="1"/>
  <c r="H388" i="41"/>
  <c r="H390" i="41" s="1"/>
  <c r="H444" i="41" s="1"/>
  <c r="G388" i="41"/>
  <c r="G389" i="41" s="1"/>
  <c r="F388" i="41"/>
  <c r="F389" i="41" s="1"/>
  <c r="E388" i="41"/>
  <c r="E389" i="41" s="1"/>
  <c r="D388" i="41"/>
  <c r="D389" i="41" s="1"/>
  <c r="C388" i="41"/>
  <c r="C426" i="41" s="1"/>
  <c r="P387" i="41"/>
  <c r="C372" i="41"/>
  <c r="C436" i="41" s="1"/>
  <c r="C438" i="41" s="1"/>
  <c r="C355" i="41"/>
  <c r="N349" i="41"/>
  <c r="M349" i="41"/>
  <c r="L349" i="41"/>
  <c r="K349" i="41"/>
  <c r="J349" i="41"/>
  <c r="I349" i="41"/>
  <c r="H349" i="41"/>
  <c r="G349" i="41"/>
  <c r="F349" i="41"/>
  <c r="E349" i="41"/>
  <c r="D349" i="41"/>
  <c r="C349" i="41"/>
  <c r="C336" i="41"/>
  <c r="C353" i="41" s="1"/>
  <c r="H333" i="41"/>
  <c r="E323" i="41"/>
  <c r="E324" i="41" s="1"/>
  <c r="N322" i="41"/>
  <c r="N333" i="41" s="1"/>
  <c r="M322" i="41"/>
  <c r="M333" i="41" s="1"/>
  <c r="L322" i="41"/>
  <c r="L333" i="41" s="1"/>
  <c r="K322" i="41"/>
  <c r="K333" i="41" s="1"/>
  <c r="J322" i="41"/>
  <c r="J333" i="41" s="1"/>
  <c r="I322" i="41"/>
  <c r="I333" i="41" s="1"/>
  <c r="H322" i="41"/>
  <c r="H323" i="41" s="1"/>
  <c r="G322" i="41"/>
  <c r="G333" i="41" s="1"/>
  <c r="F322" i="41"/>
  <c r="F333" i="41" s="1"/>
  <c r="E322" i="41"/>
  <c r="E333" i="41" s="1"/>
  <c r="D322" i="41"/>
  <c r="D333" i="41" s="1"/>
  <c r="C321" i="41"/>
  <c r="C322" i="41" s="1"/>
  <c r="C333" i="41" s="1"/>
  <c r="P314" i="41"/>
  <c r="N314" i="41"/>
  <c r="N315" i="41" s="1"/>
  <c r="N351" i="41" s="1"/>
  <c r="M314" i="41"/>
  <c r="P313" i="41"/>
  <c r="N313" i="41"/>
  <c r="M313" i="41"/>
  <c r="L313" i="41"/>
  <c r="K313" i="41"/>
  <c r="P311" i="41"/>
  <c r="C305" i="41"/>
  <c r="C348" i="41" s="1"/>
  <c r="L304" i="41"/>
  <c r="M305" i="41" s="1"/>
  <c r="M348" i="41" s="1"/>
  <c r="K304" i="41"/>
  <c r="L305" i="41" s="1"/>
  <c r="L348" i="41" s="1"/>
  <c r="D303" i="41"/>
  <c r="D347" i="41" s="1"/>
  <c r="N302" i="41"/>
  <c r="N304" i="41" s="1"/>
  <c r="P305" i="41" s="1"/>
  <c r="M302" i="41"/>
  <c r="M304" i="41" s="1"/>
  <c r="N305" i="41" s="1"/>
  <c r="N348" i="41" s="1"/>
  <c r="L302" i="41"/>
  <c r="L303" i="41" s="1"/>
  <c r="L347" i="41" s="1"/>
  <c r="K302" i="41"/>
  <c r="K303" i="41" s="1"/>
  <c r="K347" i="41" s="1"/>
  <c r="J302" i="41"/>
  <c r="J303" i="41" s="1"/>
  <c r="J347" i="41" s="1"/>
  <c r="I302" i="41"/>
  <c r="I303" i="41" s="1"/>
  <c r="I347" i="41" s="1"/>
  <c r="H302" i="41"/>
  <c r="H304" i="41" s="1"/>
  <c r="I305" i="41" s="1"/>
  <c r="I348" i="41" s="1"/>
  <c r="G302" i="41"/>
  <c r="G304" i="41" s="1"/>
  <c r="H305" i="41" s="1"/>
  <c r="H348" i="41" s="1"/>
  <c r="F302" i="41"/>
  <c r="F303" i="41" s="1"/>
  <c r="F347" i="41" s="1"/>
  <c r="E302" i="41"/>
  <c r="E304" i="41" s="1"/>
  <c r="F305" i="41" s="1"/>
  <c r="F348" i="41" s="1"/>
  <c r="D302" i="41"/>
  <c r="D304" i="41" s="1"/>
  <c r="E305" i="41" s="1"/>
  <c r="E348" i="41" s="1"/>
  <c r="C302" i="41"/>
  <c r="C303" i="41" s="1"/>
  <c r="M301" i="41"/>
  <c r="L301" i="41"/>
  <c r="K301" i="41"/>
  <c r="J301" i="41"/>
  <c r="I301" i="41"/>
  <c r="H301" i="41"/>
  <c r="G301" i="41"/>
  <c r="F301" i="41"/>
  <c r="E301" i="41"/>
  <c r="D301" i="41"/>
  <c r="C301" i="41"/>
  <c r="N300" i="41"/>
  <c r="P300" i="41" s="1"/>
  <c r="N299" i="41"/>
  <c r="P299" i="41" s="1"/>
  <c r="N298" i="41"/>
  <c r="N294" i="41"/>
  <c r="N332" i="41" s="1"/>
  <c r="M294" i="41"/>
  <c r="M296" i="41" s="1"/>
  <c r="M350" i="41" s="1"/>
  <c r="L294" i="41"/>
  <c r="L332" i="41" s="1"/>
  <c r="K294" i="41"/>
  <c r="K332" i="41" s="1"/>
  <c r="J294" i="41"/>
  <c r="J332" i="41" s="1"/>
  <c r="I294" i="41"/>
  <c r="I332" i="41" s="1"/>
  <c r="H294" i="41"/>
  <c r="H332" i="41" s="1"/>
  <c r="G294" i="41"/>
  <c r="G295" i="41" s="1"/>
  <c r="F294" i="41"/>
  <c r="F332" i="41" s="1"/>
  <c r="E294" i="41"/>
  <c r="E295" i="41" s="1"/>
  <c r="D294" i="41"/>
  <c r="D295" i="41" s="1"/>
  <c r="C294" i="41"/>
  <c r="C332" i="41" s="1"/>
  <c r="P293" i="41"/>
  <c r="C278" i="41"/>
  <c r="C342" i="41" s="1"/>
  <c r="C344" i="41" s="1"/>
  <c r="N256" i="41"/>
  <c r="M256" i="41"/>
  <c r="L256" i="41"/>
  <c r="K256" i="41"/>
  <c r="J256" i="41"/>
  <c r="I256" i="41"/>
  <c r="H256" i="41"/>
  <c r="G256" i="41"/>
  <c r="F256" i="41"/>
  <c r="E256" i="41"/>
  <c r="D256" i="41"/>
  <c r="C256" i="41"/>
  <c r="K240" i="41"/>
  <c r="I230" i="41"/>
  <c r="I259" i="41" s="1"/>
  <c r="H230" i="41"/>
  <c r="H231" i="41" s="1"/>
  <c r="G230" i="41"/>
  <c r="G231" i="41" s="1"/>
  <c r="F230" i="41"/>
  <c r="F231" i="41" s="1"/>
  <c r="N229" i="41"/>
  <c r="N240" i="41" s="1"/>
  <c r="M229" i="41"/>
  <c r="M240" i="41" s="1"/>
  <c r="L229" i="41"/>
  <c r="L240" i="41" s="1"/>
  <c r="K229" i="41"/>
  <c r="K230" i="41" s="1"/>
  <c r="J229" i="41"/>
  <c r="J240" i="41" s="1"/>
  <c r="I229" i="41"/>
  <c r="I240" i="41" s="1"/>
  <c r="H229" i="41"/>
  <c r="H240" i="41" s="1"/>
  <c r="G229" i="41"/>
  <c r="G240" i="41" s="1"/>
  <c r="F229" i="41"/>
  <c r="F240" i="41" s="1"/>
  <c r="E229" i="41"/>
  <c r="E230" i="41" s="1"/>
  <c r="E231" i="41" s="1"/>
  <c r="D229" i="41"/>
  <c r="D230" i="41" s="1"/>
  <c r="D231" i="41" s="1"/>
  <c r="C228" i="41"/>
  <c r="C229" i="41" s="1"/>
  <c r="P221" i="41"/>
  <c r="N221" i="41" s="1"/>
  <c r="G221" i="41"/>
  <c r="F221" i="41"/>
  <c r="E221" i="41"/>
  <c r="P220" i="41"/>
  <c r="L220" i="41" s="1"/>
  <c r="N220" i="41"/>
  <c r="M220" i="41"/>
  <c r="P218" i="41"/>
  <c r="X212" i="41"/>
  <c r="V212" i="41"/>
  <c r="U211" i="41"/>
  <c r="N209" i="41"/>
  <c r="N211" i="41" s="1"/>
  <c r="P212" i="41" s="1"/>
  <c r="M209" i="41"/>
  <c r="M211" i="41" s="1"/>
  <c r="N212" i="41" s="1"/>
  <c r="N255" i="41" s="1"/>
  <c r="L209" i="41"/>
  <c r="L211" i="41" s="1"/>
  <c r="M212" i="41" s="1"/>
  <c r="M255" i="41" s="1"/>
  <c r="K209" i="41"/>
  <c r="K211" i="41" s="1"/>
  <c r="L212" i="41" s="1"/>
  <c r="L255" i="41" s="1"/>
  <c r="J209" i="41"/>
  <c r="J211" i="41" s="1"/>
  <c r="K212" i="41" s="1"/>
  <c r="K255" i="41" s="1"/>
  <c r="I209" i="41"/>
  <c r="I211" i="41" s="1"/>
  <c r="J212" i="41" s="1"/>
  <c r="J255" i="41" s="1"/>
  <c r="H209" i="41"/>
  <c r="H210" i="41" s="1"/>
  <c r="H254" i="41" s="1"/>
  <c r="G209" i="41"/>
  <c r="G210" i="41" s="1"/>
  <c r="G254" i="41" s="1"/>
  <c r="F209" i="41"/>
  <c r="F210" i="41" s="1"/>
  <c r="F254" i="41" s="1"/>
  <c r="E209" i="41"/>
  <c r="E210" i="41" s="1"/>
  <c r="E254" i="41" s="1"/>
  <c r="D209" i="41"/>
  <c r="D210" i="41" s="1"/>
  <c r="D254" i="41" s="1"/>
  <c r="C209" i="41"/>
  <c r="C210" i="41" s="1"/>
  <c r="M208" i="41"/>
  <c r="L208" i="41"/>
  <c r="K208" i="41"/>
  <c r="J208" i="41"/>
  <c r="I208" i="41"/>
  <c r="H208" i="41"/>
  <c r="G208" i="41"/>
  <c r="F208" i="41"/>
  <c r="E208" i="41"/>
  <c r="D208" i="41"/>
  <c r="C208" i="41"/>
  <c r="N207" i="41"/>
  <c r="N206" i="41"/>
  <c r="P206" i="41" s="1"/>
  <c r="N205" i="41"/>
  <c r="P205" i="41" s="1"/>
  <c r="E203" i="41"/>
  <c r="E257" i="41" s="1"/>
  <c r="F202" i="41"/>
  <c r="E202" i="41"/>
  <c r="N201" i="41"/>
  <c r="N202" i="41" s="1"/>
  <c r="M201" i="41"/>
  <c r="M202" i="41" s="1"/>
  <c r="L201" i="41"/>
  <c r="L239" i="41" s="1"/>
  <c r="K201" i="41"/>
  <c r="K239" i="41" s="1"/>
  <c r="J201" i="41"/>
  <c r="J239" i="41" s="1"/>
  <c r="I201" i="41"/>
  <c r="I239" i="41" s="1"/>
  <c r="H201" i="41"/>
  <c r="H239" i="41" s="1"/>
  <c r="G201" i="41"/>
  <c r="G239" i="41" s="1"/>
  <c r="F201" i="41"/>
  <c r="F239" i="41" s="1"/>
  <c r="E201" i="41"/>
  <c r="E239" i="41" s="1"/>
  <c r="D201" i="41"/>
  <c r="D239" i="41" s="1"/>
  <c r="C201" i="41"/>
  <c r="C203" i="41" s="1"/>
  <c r="C257" i="41" s="1"/>
  <c r="P200" i="41"/>
  <c r="N165" i="41"/>
  <c r="M165" i="41"/>
  <c r="L165" i="41"/>
  <c r="K165" i="41"/>
  <c r="J165" i="41"/>
  <c r="I165" i="41"/>
  <c r="H165" i="41"/>
  <c r="G165" i="41"/>
  <c r="F165" i="41"/>
  <c r="E165" i="41"/>
  <c r="D165" i="41"/>
  <c r="C165" i="41"/>
  <c r="C149" i="41"/>
  <c r="N148" i="41"/>
  <c r="M148" i="41"/>
  <c r="E139" i="41"/>
  <c r="E168" i="41" s="1"/>
  <c r="D139" i="41"/>
  <c r="D140" i="41" s="1"/>
  <c r="N138" i="41"/>
  <c r="N149" i="41" s="1"/>
  <c r="M138" i="41"/>
  <c r="M149" i="41" s="1"/>
  <c r="L138" i="41"/>
  <c r="L149" i="41" s="1"/>
  <c r="K138" i="41"/>
  <c r="K149" i="41" s="1"/>
  <c r="J138" i="41"/>
  <c r="J149" i="41" s="1"/>
  <c r="I138" i="41"/>
  <c r="I149" i="41" s="1"/>
  <c r="G138" i="41"/>
  <c r="G149" i="41" s="1"/>
  <c r="F138" i="41"/>
  <c r="F149" i="41" s="1"/>
  <c r="E138" i="41"/>
  <c r="E149" i="41" s="1"/>
  <c r="D138" i="41"/>
  <c r="D149" i="41" s="1"/>
  <c r="C138" i="41"/>
  <c r="C139" i="41" s="1"/>
  <c r="C140" i="41" s="1"/>
  <c r="H137" i="41"/>
  <c r="H138" i="41" s="1"/>
  <c r="H149" i="41" s="1"/>
  <c r="P130" i="41"/>
  <c r="M130" i="41" s="1"/>
  <c r="P129" i="41"/>
  <c r="L129" i="41" s="1"/>
  <c r="P127" i="41"/>
  <c r="V121" i="41"/>
  <c r="U120" i="41"/>
  <c r="N118" i="41"/>
  <c r="N120" i="41" s="1"/>
  <c r="P121" i="41" s="1"/>
  <c r="M118" i="41"/>
  <c r="M120" i="41" s="1"/>
  <c r="N121" i="41" s="1"/>
  <c r="N164" i="41" s="1"/>
  <c r="L118" i="41"/>
  <c r="L120" i="41" s="1"/>
  <c r="M121" i="41" s="1"/>
  <c r="M164" i="41" s="1"/>
  <c r="K118" i="41"/>
  <c r="K120" i="41" s="1"/>
  <c r="L121" i="41" s="1"/>
  <c r="L164" i="41" s="1"/>
  <c r="J118" i="41"/>
  <c r="J120" i="41" s="1"/>
  <c r="K121" i="41" s="1"/>
  <c r="K164" i="41" s="1"/>
  <c r="I118" i="41"/>
  <c r="I119" i="41" s="1"/>
  <c r="I163" i="41" s="1"/>
  <c r="H118" i="41"/>
  <c r="H119" i="41" s="1"/>
  <c r="H163" i="41" s="1"/>
  <c r="G118" i="41"/>
  <c r="G119" i="41" s="1"/>
  <c r="G163" i="41" s="1"/>
  <c r="F118" i="41"/>
  <c r="F119" i="41" s="1"/>
  <c r="F163" i="41" s="1"/>
  <c r="E118" i="41"/>
  <c r="E119" i="41" s="1"/>
  <c r="E163" i="41" s="1"/>
  <c r="D118" i="41"/>
  <c r="D119" i="41" s="1"/>
  <c r="D163" i="41" s="1"/>
  <c r="C118" i="41"/>
  <c r="C119" i="41" s="1"/>
  <c r="M117" i="41"/>
  <c r="L117" i="41"/>
  <c r="K117" i="41"/>
  <c r="J117" i="41"/>
  <c r="I117" i="41"/>
  <c r="H117" i="41"/>
  <c r="G117" i="41"/>
  <c r="F117" i="41"/>
  <c r="E117" i="41"/>
  <c r="D117" i="41"/>
  <c r="C117" i="41"/>
  <c r="P116" i="41"/>
  <c r="N116" i="41" s="1"/>
  <c r="P115" i="41"/>
  <c r="N115" i="41" s="1"/>
  <c r="F113" i="41"/>
  <c r="F166" i="41" s="1"/>
  <c r="E113" i="41"/>
  <c r="E166" i="41" s="1"/>
  <c r="D113" i="41"/>
  <c r="D166" i="41" s="1"/>
  <c r="N111" i="41"/>
  <c r="N112" i="41" s="1"/>
  <c r="M111" i="41"/>
  <c r="M112" i="41" s="1"/>
  <c r="L111" i="41"/>
  <c r="L148" i="41" s="1"/>
  <c r="K111" i="41"/>
  <c r="K148" i="41" s="1"/>
  <c r="J111" i="41"/>
  <c r="J148" i="41" s="1"/>
  <c r="I111" i="41"/>
  <c r="I148" i="41" s="1"/>
  <c r="H111" i="41"/>
  <c r="H148" i="41" s="1"/>
  <c r="G111" i="41"/>
  <c r="G148" i="41" s="1"/>
  <c r="F111" i="41"/>
  <c r="F148" i="41" s="1"/>
  <c r="E111" i="41"/>
  <c r="E148" i="41" s="1"/>
  <c r="D111" i="41"/>
  <c r="D148" i="41" s="1"/>
  <c r="C111" i="41"/>
  <c r="C148" i="41" s="1"/>
  <c r="P110" i="41"/>
  <c r="X103" i="41"/>
  <c r="W102" i="41"/>
  <c r="C83" i="41"/>
  <c r="C81" i="41"/>
  <c r="N80" i="41"/>
  <c r="M80" i="41"/>
  <c r="L80" i="41"/>
  <c r="K80" i="41"/>
  <c r="J80" i="41"/>
  <c r="I80" i="41"/>
  <c r="H80" i="41"/>
  <c r="G80" i="41"/>
  <c r="F80" i="41"/>
  <c r="E80" i="41"/>
  <c r="D80" i="41"/>
  <c r="N77" i="41"/>
  <c r="M77" i="41"/>
  <c r="L77" i="41"/>
  <c r="K77" i="41"/>
  <c r="J77" i="41"/>
  <c r="I77" i="41"/>
  <c r="H77" i="41"/>
  <c r="G77" i="41"/>
  <c r="F77" i="41"/>
  <c r="E77" i="41"/>
  <c r="D77" i="41"/>
  <c r="C77" i="41"/>
  <c r="C76" i="41"/>
  <c r="N74" i="41"/>
  <c r="M74" i="41"/>
  <c r="L74" i="41"/>
  <c r="K74" i="41"/>
  <c r="J74" i="41"/>
  <c r="I74" i="41"/>
  <c r="H74" i="41"/>
  <c r="G74" i="41"/>
  <c r="F74" i="41"/>
  <c r="E74" i="41"/>
  <c r="D74" i="41"/>
  <c r="C74" i="41"/>
  <c r="N61" i="41"/>
  <c r="M61" i="41"/>
  <c r="L61" i="41"/>
  <c r="K61" i="41"/>
  <c r="J61" i="41"/>
  <c r="I61" i="41"/>
  <c r="H61" i="41"/>
  <c r="G61" i="41"/>
  <c r="F61" i="41"/>
  <c r="E61" i="41"/>
  <c r="D61" i="41"/>
  <c r="F60" i="41"/>
  <c r="C49" i="41"/>
  <c r="C50" i="41" s="1"/>
  <c r="P42" i="41"/>
  <c r="N42" i="41" s="1"/>
  <c r="E42" i="41"/>
  <c r="D42" i="41"/>
  <c r="P41" i="41"/>
  <c r="K41" i="41" s="1"/>
  <c r="N41" i="41"/>
  <c r="M41" i="41"/>
  <c r="P39" i="41"/>
  <c r="X36" i="41"/>
  <c r="V34" i="41"/>
  <c r="U33" i="41"/>
  <c r="K32" i="41"/>
  <c r="L33" i="41" s="1"/>
  <c r="L76" i="41" s="1"/>
  <c r="I32" i="41"/>
  <c r="J33" i="41" s="1"/>
  <c r="J76" i="41" s="1"/>
  <c r="N30" i="41"/>
  <c r="N32" i="41" s="1"/>
  <c r="P33" i="41" s="1"/>
  <c r="C121" i="41" s="1"/>
  <c r="C164" i="41" s="1"/>
  <c r="M30" i="41"/>
  <c r="M32" i="41" s="1"/>
  <c r="N33" i="41" s="1"/>
  <c r="N76" i="41" s="1"/>
  <c r="L30" i="41"/>
  <c r="L31" i="41" s="1"/>
  <c r="L75" i="41" s="1"/>
  <c r="K30" i="41"/>
  <c r="K31" i="41" s="1"/>
  <c r="K75" i="41" s="1"/>
  <c r="J30" i="41"/>
  <c r="J32" i="41" s="1"/>
  <c r="K33" i="41" s="1"/>
  <c r="K76" i="41" s="1"/>
  <c r="I30" i="41"/>
  <c r="I31" i="41" s="1"/>
  <c r="I75" i="41" s="1"/>
  <c r="H30" i="41"/>
  <c r="H31" i="41" s="1"/>
  <c r="H75" i="41" s="1"/>
  <c r="G30" i="41"/>
  <c r="G32" i="41" s="1"/>
  <c r="H33" i="41" s="1"/>
  <c r="H76" i="41" s="1"/>
  <c r="F30" i="41"/>
  <c r="F31" i="41" s="1"/>
  <c r="F75" i="41" s="1"/>
  <c r="E30" i="41"/>
  <c r="E31" i="41" s="1"/>
  <c r="E75" i="41" s="1"/>
  <c r="D30" i="41"/>
  <c r="D31" i="41" s="1"/>
  <c r="D75" i="41" s="1"/>
  <c r="C30" i="41"/>
  <c r="C31" i="41" s="1"/>
  <c r="M29" i="41"/>
  <c r="L29" i="41"/>
  <c r="K29" i="41"/>
  <c r="J29" i="41"/>
  <c r="I29" i="41"/>
  <c r="H29" i="41"/>
  <c r="G29" i="41"/>
  <c r="F29" i="41"/>
  <c r="E29" i="41"/>
  <c r="D29" i="41"/>
  <c r="C29" i="41"/>
  <c r="P27" i="41"/>
  <c r="N28" i="41" s="1"/>
  <c r="N29" i="41" s="1"/>
  <c r="H26" i="41"/>
  <c r="H78" i="41" s="1"/>
  <c r="H25" i="41"/>
  <c r="N24" i="41"/>
  <c r="N60" i="41" s="1"/>
  <c r="M24" i="41"/>
  <c r="M26" i="41" s="1"/>
  <c r="M78" i="41" s="1"/>
  <c r="L24" i="41"/>
  <c r="L60" i="41" s="1"/>
  <c r="K24" i="41"/>
  <c r="K25" i="41" s="1"/>
  <c r="J24" i="41"/>
  <c r="J25" i="41" s="1"/>
  <c r="I24" i="41"/>
  <c r="I26" i="41" s="1"/>
  <c r="I78" i="41" s="1"/>
  <c r="H24" i="41"/>
  <c r="H60" i="41" s="1"/>
  <c r="G24" i="41"/>
  <c r="G25" i="41" s="1"/>
  <c r="F24" i="41"/>
  <c r="F25" i="41" s="1"/>
  <c r="E24" i="41"/>
  <c r="E25" i="41" s="1"/>
  <c r="D24" i="41"/>
  <c r="D60" i="41" s="1"/>
  <c r="C24" i="41"/>
  <c r="C60" i="41" s="1"/>
  <c r="P23" i="41"/>
  <c r="C70" i="41"/>
  <c r="C72" i="41" s="1"/>
  <c r="N6" i="41"/>
  <c r="M14" i="41"/>
  <c r="L14" i="41"/>
  <c r="K6" i="41"/>
  <c r="K58" i="41" s="1"/>
  <c r="I14" i="41"/>
  <c r="H14" i="41"/>
  <c r="H15" i="41" s="1"/>
  <c r="H16" i="41" s="1"/>
  <c r="H17" i="41" s="1"/>
  <c r="H73" i="41" s="1"/>
  <c r="G6" i="41"/>
  <c r="G58" i="41" s="1"/>
  <c r="F14" i="41"/>
  <c r="E14" i="41"/>
  <c r="E15" i="41" s="1"/>
  <c r="E59" i="41" s="1"/>
  <c r="D6" i="41"/>
  <c r="D58" i="41" s="1"/>
  <c r="C6" i="41"/>
  <c r="C58" i="41" s="1"/>
  <c r="B8" i="37"/>
  <c r="K19" i="1"/>
  <c r="C23" i="1"/>
  <c r="C21" i="1"/>
  <c r="C18" i="1"/>
  <c r="C19" i="1" s="1"/>
  <c r="D24" i="3"/>
  <c r="D23" i="3"/>
  <c r="D3" i="3"/>
  <c r="C80" i="1"/>
  <c r="I79" i="1"/>
  <c r="K78" i="1"/>
  <c r="I78" i="1"/>
  <c r="H78" i="1"/>
  <c r="G78" i="1"/>
  <c r="C73" i="1"/>
  <c r="K72" i="1"/>
  <c r="K84" i="1" s="1"/>
  <c r="I72" i="1"/>
  <c r="H72" i="1"/>
  <c r="H84" i="1" s="1"/>
  <c r="G72" i="1"/>
  <c r="G84" i="1" s="1"/>
  <c r="I84" i="1" s="1"/>
  <c r="C50" i="1"/>
  <c r="I49" i="1"/>
  <c r="I48" i="1" s="1"/>
  <c r="K48" i="1"/>
  <c r="H48" i="1"/>
  <c r="G48" i="1"/>
  <c r="C43" i="1"/>
  <c r="K42" i="1"/>
  <c r="I42" i="1"/>
  <c r="H42" i="1"/>
  <c r="H54" i="1" s="1"/>
  <c r="G42" i="1"/>
  <c r="D123" i="22"/>
  <c r="E123" i="22"/>
  <c r="F123" i="22"/>
  <c r="G123" i="22"/>
  <c r="H123" i="22"/>
  <c r="I123" i="22"/>
  <c r="J123" i="22"/>
  <c r="K123" i="22"/>
  <c r="L123" i="22"/>
  <c r="M123" i="22"/>
  <c r="N123" i="22"/>
  <c r="C123" i="22"/>
  <c r="D215" i="22"/>
  <c r="E215" i="22"/>
  <c r="F215" i="22"/>
  <c r="G215" i="22"/>
  <c r="H215" i="22"/>
  <c r="I215" i="22"/>
  <c r="J215" i="22"/>
  <c r="K215" i="22"/>
  <c r="L215" i="22"/>
  <c r="M215" i="22"/>
  <c r="N215" i="22"/>
  <c r="C215" i="22"/>
  <c r="D30" i="22"/>
  <c r="E30" i="22"/>
  <c r="F30" i="22"/>
  <c r="G30" i="22"/>
  <c r="H30" i="22"/>
  <c r="I30" i="22"/>
  <c r="J30" i="22"/>
  <c r="K30" i="22"/>
  <c r="L30" i="22"/>
  <c r="M30" i="22"/>
  <c r="N30" i="22"/>
  <c r="C30" i="22"/>
  <c r="C5" i="22"/>
  <c r="D5" i="22"/>
  <c r="E5" i="22"/>
  <c r="F5" i="22"/>
  <c r="G5" i="22"/>
  <c r="G14" i="22" s="1"/>
  <c r="H5" i="22"/>
  <c r="H14" i="22" s="1"/>
  <c r="I5" i="22"/>
  <c r="I6" i="22" s="1"/>
  <c r="J5" i="22"/>
  <c r="J14" i="22" s="1"/>
  <c r="K5" i="22"/>
  <c r="L5" i="22"/>
  <c r="L6" i="22" s="1"/>
  <c r="M5" i="22"/>
  <c r="M6" i="22" s="1"/>
  <c r="N5" i="22"/>
  <c r="N6" i="22" s="1"/>
  <c r="W74" i="22"/>
  <c r="W167" i="22"/>
  <c r="W262" i="22"/>
  <c r="P51" i="22"/>
  <c r="W75" i="22"/>
  <c r="W168" i="22"/>
  <c r="W263" i="22" s="1"/>
  <c r="P30" i="22"/>
  <c r="X74" i="22"/>
  <c r="X167" i="22" s="1"/>
  <c r="P123" i="22"/>
  <c r="P215" i="22"/>
  <c r="X75" i="22"/>
  <c r="X168" i="22" s="1"/>
  <c r="T173" i="22"/>
  <c r="T268" i="22"/>
  <c r="P206" i="22"/>
  <c r="P208" i="22"/>
  <c r="P209" i="22"/>
  <c r="P210" i="22"/>
  <c r="T264" i="22"/>
  <c r="P225" i="22"/>
  <c r="T265" i="22"/>
  <c r="C216" i="22"/>
  <c r="C217" i="22"/>
  <c r="D216" i="22"/>
  <c r="D217" i="22"/>
  <c r="E216" i="22"/>
  <c r="E217" i="22"/>
  <c r="F216" i="22"/>
  <c r="F217" i="22"/>
  <c r="G216" i="22"/>
  <c r="G217" i="22"/>
  <c r="H216" i="22"/>
  <c r="H217" i="22"/>
  <c r="I216" i="22"/>
  <c r="I217" i="22"/>
  <c r="J216" i="22"/>
  <c r="J217" i="22"/>
  <c r="K216" i="22"/>
  <c r="K217" i="22"/>
  <c r="L216" i="22"/>
  <c r="L217" i="22"/>
  <c r="M216" i="22"/>
  <c r="M217" i="22"/>
  <c r="N216" i="22"/>
  <c r="N217" i="22"/>
  <c r="P217" i="22"/>
  <c r="T266" i="22"/>
  <c r="C218" i="22"/>
  <c r="D218" i="22"/>
  <c r="E218" i="22"/>
  <c r="F218" i="22"/>
  <c r="G218" i="22"/>
  <c r="H218" i="22"/>
  <c r="I218" i="22"/>
  <c r="J218" i="22"/>
  <c r="K218" i="22"/>
  <c r="L218" i="22"/>
  <c r="M218" i="22"/>
  <c r="N218" i="22"/>
  <c r="P218" i="22"/>
  <c r="T267" i="22"/>
  <c r="P227" i="22"/>
  <c r="U251" i="22"/>
  <c r="V251" i="22"/>
  <c r="W251" i="22"/>
  <c r="X251" i="22"/>
  <c r="Y251" i="22"/>
  <c r="Z251" i="22"/>
  <c r="AA251" i="22"/>
  <c r="AB251" i="22"/>
  <c r="AC251" i="22"/>
  <c r="AD251" i="22"/>
  <c r="AE251" i="22"/>
  <c r="T272" i="22"/>
  <c r="T273" i="22"/>
  <c r="T274" i="22"/>
  <c r="T80" i="22"/>
  <c r="M14" i="22"/>
  <c r="M15" i="22" s="1"/>
  <c r="M61" i="22" s="1"/>
  <c r="M64" i="22" s="1"/>
  <c r="N14" i="22"/>
  <c r="N15" i="22" s="1"/>
  <c r="N61" i="22" s="1"/>
  <c r="N64" i="22" s="1"/>
  <c r="P23" i="22"/>
  <c r="P25" i="22"/>
  <c r="T76" i="22"/>
  <c r="P40" i="22"/>
  <c r="T77" i="22"/>
  <c r="C31" i="22"/>
  <c r="C32" i="22"/>
  <c r="D31" i="22"/>
  <c r="D32" i="22"/>
  <c r="E31" i="22"/>
  <c r="E32" i="22"/>
  <c r="F31" i="22"/>
  <c r="F32" i="22"/>
  <c r="G31" i="22"/>
  <c r="G32" i="22"/>
  <c r="H31" i="22"/>
  <c r="H32" i="22"/>
  <c r="I31" i="22"/>
  <c r="I32" i="22"/>
  <c r="J31" i="22"/>
  <c r="J32" i="22"/>
  <c r="K31" i="22"/>
  <c r="K32" i="22"/>
  <c r="L31" i="22"/>
  <c r="L32" i="22"/>
  <c r="M31" i="22"/>
  <c r="M32" i="22"/>
  <c r="N31" i="22"/>
  <c r="N32" i="22"/>
  <c r="P32" i="22"/>
  <c r="T78" i="22"/>
  <c r="C33" i="22"/>
  <c r="D33" i="22"/>
  <c r="E33" i="22"/>
  <c r="F33" i="22"/>
  <c r="G33" i="22"/>
  <c r="H33" i="22"/>
  <c r="I33" i="22"/>
  <c r="J33" i="22"/>
  <c r="K33" i="22"/>
  <c r="L33" i="22"/>
  <c r="M33" i="22"/>
  <c r="N33" i="22"/>
  <c r="P33" i="22"/>
  <c r="T79" i="22"/>
  <c r="P42" i="22"/>
  <c r="U56" i="22"/>
  <c r="V56" i="22"/>
  <c r="W56" i="22"/>
  <c r="X56" i="22"/>
  <c r="Y56" i="22"/>
  <c r="Z56" i="22"/>
  <c r="AA56" i="22"/>
  <c r="AB56" i="22"/>
  <c r="AC56" i="22"/>
  <c r="AD56" i="22"/>
  <c r="AE56" i="22"/>
  <c r="T84" i="22"/>
  <c r="T85" i="22"/>
  <c r="T86" i="22"/>
  <c r="AA76" i="22"/>
  <c r="P115" i="22"/>
  <c r="P117" i="22"/>
  <c r="P118" i="22"/>
  <c r="T169" i="22"/>
  <c r="P133" i="22"/>
  <c r="T170" i="22"/>
  <c r="C124" i="22"/>
  <c r="C125" i="22"/>
  <c r="D124" i="22"/>
  <c r="D125" i="22"/>
  <c r="E124" i="22"/>
  <c r="E125" i="22"/>
  <c r="F124" i="22"/>
  <c r="F125" i="22"/>
  <c r="G124" i="22"/>
  <c r="G125" i="22"/>
  <c r="H124" i="22"/>
  <c r="H125" i="22"/>
  <c r="I124" i="22"/>
  <c r="I125" i="22"/>
  <c r="J124" i="22"/>
  <c r="J125" i="22"/>
  <c r="K124" i="22"/>
  <c r="K125" i="22"/>
  <c r="L124" i="22"/>
  <c r="L125" i="22"/>
  <c r="M124" i="22"/>
  <c r="M125" i="22"/>
  <c r="N124" i="22"/>
  <c r="N125" i="22"/>
  <c r="P125" i="22"/>
  <c r="T171" i="22"/>
  <c r="C126" i="22"/>
  <c r="D126" i="22"/>
  <c r="E126" i="22"/>
  <c r="F126" i="22"/>
  <c r="G126" i="22"/>
  <c r="H126" i="22"/>
  <c r="I126" i="22"/>
  <c r="J126" i="22"/>
  <c r="K126" i="22"/>
  <c r="L126" i="22"/>
  <c r="M126" i="22"/>
  <c r="N126" i="22"/>
  <c r="P126" i="22"/>
  <c r="T172" i="22"/>
  <c r="C135" i="22"/>
  <c r="D135" i="22"/>
  <c r="E135" i="22"/>
  <c r="F135" i="22"/>
  <c r="G135" i="22"/>
  <c r="H135" i="22"/>
  <c r="I135" i="22"/>
  <c r="J135" i="22"/>
  <c r="K135" i="22"/>
  <c r="L135" i="22"/>
  <c r="M135" i="22"/>
  <c r="N135" i="22"/>
  <c r="P135" i="22"/>
  <c r="Z156" i="22"/>
  <c r="AB156" i="22"/>
  <c r="AC156" i="22"/>
  <c r="AD156" i="22"/>
  <c r="AE156" i="22"/>
  <c r="T177" i="22"/>
  <c r="T178" i="22"/>
  <c r="T179" i="22"/>
  <c r="AA74" i="22"/>
  <c r="AA167" i="22" s="1"/>
  <c r="AA262" i="22" s="1"/>
  <c r="C41" i="36"/>
  <c r="AA83" i="22"/>
  <c r="AA176" i="22"/>
  <c r="AA271" i="22"/>
  <c r="N27" i="36"/>
  <c r="C34" i="36"/>
  <c r="C5" i="14"/>
  <c r="C6" i="14" s="1"/>
  <c r="C59" i="14" s="1"/>
  <c r="C14" i="14"/>
  <c r="C15" i="14" s="1"/>
  <c r="C16" i="14" s="1"/>
  <c r="C17" i="14" s="1"/>
  <c r="C74" i="14" s="1"/>
  <c r="P50" i="36"/>
  <c r="O50" i="36"/>
  <c r="N50" i="36"/>
  <c r="M50" i="36"/>
  <c r="L50" i="36"/>
  <c r="P48" i="36"/>
  <c r="O48" i="36"/>
  <c r="N48" i="36"/>
  <c r="M48" i="36"/>
  <c r="L48" i="36"/>
  <c r="L33" i="36"/>
  <c r="N42" i="36"/>
  <c r="L28" i="36"/>
  <c r="C28" i="36"/>
  <c r="L27" i="36"/>
  <c r="L26" i="36"/>
  <c r="L19" i="36"/>
  <c r="L18" i="36"/>
  <c r="L17" i="36"/>
  <c r="L10" i="36"/>
  <c r="L9" i="36"/>
  <c r="L8" i="36"/>
  <c r="P6" i="36"/>
  <c r="C6" i="36"/>
  <c r="G5" i="36"/>
  <c r="F5" i="36"/>
  <c r="C5" i="32"/>
  <c r="D5" i="33"/>
  <c r="D6" i="33" s="1"/>
  <c r="E5" i="33"/>
  <c r="E14" i="33" s="1"/>
  <c r="F5" i="33"/>
  <c r="F14" i="33" s="1"/>
  <c r="G5" i="33"/>
  <c r="H5" i="33"/>
  <c r="I5" i="33"/>
  <c r="I6" i="33" s="1"/>
  <c r="J5" i="33"/>
  <c r="J6" i="33" s="1"/>
  <c r="K5" i="33"/>
  <c r="K14" i="33" s="1"/>
  <c r="L5" i="33"/>
  <c r="M5" i="33"/>
  <c r="N5" i="33"/>
  <c r="N6" i="33" s="1"/>
  <c r="N61" i="33" s="1"/>
  <c r="C5" i="33"/>
  <c r="D5" i="32"/>
  <c r="D14" i="32" s="1"/>
  <c r="D15" i="32" s="1"/>
  <c r="E5" i="32"/>
  <c r="E14" i="32" s="1"/>
  <c r="F5" i="32"/>
  <c r="F14" i="32" s="1"/>
  <c r="F15" i="32" s="1"/>
  <c r="F60" i="32" s="1"/>
  <c r="F63" i="32" s="1"/>
  <c r="G5" i="32"/>
  <c r="H5" i="32"/>
  <c r="H6" i="32" s="1"/>
  <c r="H59" i="32" s="1"/>
  <c r="I5" i="32"/>
  <c r="I14" i="32" s="1"/>
  <c r="J5" i="32"/>
  <c r="J14" i="32" s="1"/>
  <c r="K5" i="32"/>
  <c r="K14" i="32" s="1"/>
  <c r="K15" i="32" s="1"/>
  <c r="L5" i="32"/>
  <c r="L14" i="32" s="1"/>
  <c r="L15" i="32" s="1"/>
  <c r="L60" i="32" s="1"/>
  <c r="L63" i="32" s="1"/>
  <c r="M5" i="32"/>
  <c r="M14" i="32" s="1"/>
  <c r="M15" i="32" s="1"/>
  <c r="M60" i="32" s="1"/>
  <c r="M63" i="32" s="1"/>
  <c r="N5" i="32"/>
  <c r="T156" i="24"/>
  <c r="AA83" i="24"/>
  <c r="C261" i="22"/>
  <c r="P127" i="22"/>
  <c r="C219" i="22"/>
  <c r="C262" i="22"/>
  <c r="C263" i="22"/>
  <c r="C207" i="22"/>
  <c r="C208" i="22"/>
  <c r="C209" i="22"/>
  <c r="C210" i="22"/>
  <c r="C211" i="22"/>
  <c r="C212" i="22"/>
  <c r="C213" i="22"/>
  <c r="C264" i="22"/>
  <c r="C227" i="22"/>
  <c r="P228" i="22"/>
  <c r="C228" i="22"/>
  <c r="C229" i="22"/>
  <c r="C265" i="22"/>
  <c r="C236" i="22"/>
  <c r="C237" i="22"/>
  <c r="C266" i="22"/>
  <c r="N116" i="22"/>
  <c r="N118" i="22"/>
  <c r="N119" i="22"/>
  <c r="N154" i="22"/>
  <c r="N144" i="22"/>
  <c r="N155" i="22"/>
  <c r="C85" i="22"/>
  <c r="T58" i="22" s="1"/>
  <c r="C72" i="22"/>
  <c r="C74" i="22"/>
  <c r="T50" i="22" s="1"/>
  <c r="T54" i="22" s="1"/>
  <c r="C76" i="22"/>
  <c r="C77" i="22"/>
  <c r="C78" i="22"/>
  <c r="C79" i="22"/>
  <c r="C24" i="22"/>
  <c r="C25" i="22"/>
  <c r="C27" i="22"/>
  <c r="C28" i="22"/>
  <c r="C80" i="22"/>
  <c r="C42" i="22"/>
  <c r="C43" i="22"/>
  <c r="C44" i="22"/>
  <c r="C45" i="22"/>
  <c r="C81" i="22"/>
  <c r="C52" i="22"/>
  <c r="C53" i="22"/>
  <c r="C82" i="22"/>
  <c r="C83" i="22"/>
  <c r="D76" i="22"/>
  <c r="D77" i="22"/>
  <c r="D34" i="22"/>
  <c r="D78" i="22"/>
  <c r="D79" i="22"/>
  <c r="D24" i="22"/>
  <c r="D25" i="22"/>
  <c r="D27" i="22"/>
  <c r="D28" i="22"/>
  <c r="D80" i="22"/>
  <c r="D42" i="22"/>
  <c r="D43" i="22"/>
  <c r="D44" i="22"/>
  <c r="D45" i="22"/>
  <c r="D81" i="22"/>
  <c r="D82" i="22"/>
  <c r="C62" i="22"/>
  <c r="C63" i="22"/>
  <c r="E73" i="22"/>
  <c r="E76" i="22"/>
  <c r="E77" i="22"/>
  <c r="E34" i="22"/>
  <c r="E78" i="22"/>
  <c r="E79" i="22"/>
  <c r="E24" i="22"/>
  <c r="E25" i="22"/>
  <c r="E27" i="22"/>
  <c r="E28" i="22"/>
  <c r="E80" i="22"/>
  <c r="E42" i="22"/>
  <c r="E43" i="22"/>
  <c r="E44" i="22"/>
  <c r="E45" i="22"/>
  <c r="E81" i="22"/>
  <c r="E82" i="22"/>
  <c r="D62" i="22"/>
  <c r="D63" i="22"/>
  <c r="F76" i="22"/>
  <c r="F77" i="22"/>
  <c r="F34" i="22"/>
  <c r="F78" i="22"/>
  <c r="F79" i="22"/>
  <c r="F24" i="22"/>
  <c r="F25" i="22"/>
  <c r="F27" i="22"/>
  <c r="F28" i="22"/>
  <c r="F80" i="22"/>
  <c r="F42" i="22"/>
  <c r="F43" i="22"/>
  <c r="F44" i="22"/>
  <c r="F45" i="22"/>
  <c r="F81" i="22"/>
  <c r="F82" i="22"/>
  <c r="E62" i="22"/>
  <c r="E63" i="22"/>
  <c r="G76" i="22"/>
  <c r="G77" i="22"/>
  <c r="G34" i="22"/>
  <c r="G78" i="22"/>
  <c r="G79" i="22"/>
  <c r="G24" i="22"/>
  <c r="G25" i="22"/>
  <c r="G27" i="22"/>
  <c r="G28" i="22"/>
  <c r="G80" i="22"/>
  <c r="G42" i="22"/>
  <c r="G43" i="22"/>
  <c r="G44" i="22"/>
  <c r="G45" i="22"/>
  <c r="G81" i="22"/>
  <c r="G82" i="22"/>
  <c r="F62" i="22"/>
  <c r="F63" i="22"/>
  <c r="H76" i="22"/>
  <c r="H77" i="22"/>
  <c r="H34" i="22"/>
  <c r="H78" i="22"/>
  <c r="H79" i="22"/>
  <c r="H24" i="22"/>
  <c r="H25" i="22"/>
  <c r="H27" i="22"/>
  <c r="H28" i="22"/>
  <c r="H80" i="22"/>
  <c r="H42" i="22"/>
  <c r="H43" i="22"/>
  <c r="H44" i="22"/>
  <c r="H45" i="22"/>
  <c r="H81" i="22"/>
  <c r="H82" i="22"/>
  <c r="G62" i="22"/>
  <c r="G63" i="22"/>
  <c r="I76" i="22"/>
  <c r="I77" i="22"/>
  <c r="I34" i="22"/>
  <c r="I78" i="22"/>
  <c r="I79" i="22"/>
  <c r="I24" i="22"/>
  <c r="I25" i="22"/>
  <c r="I27" i="22"/>
  <c r="I28" i="22"/>
  <c r="I80" i="22"/>
  <c r="I42" i="22"/>
  <c r="I43" i="22"/>
  <c r="I44" i="22"/>
  <c r="I45" i="22"/>
  <c r="I81" i="22"/>
  <c r="I82" i="22"/>
  <c r="H62" i="22"/>
  <c r="H63" i="22"/>
  <c r="J76" i="22"/>
  <c r="J77" i="22"/>
  <c r="J34" i="22"/>
  <c r="J78" i="22"/>
  <c r="J79" i="22"/>
  <c r="J24" i="22"/>
  <c r="J25" i="22"/>
  <c r="J27" i="22"/>
  <c r="J28" i="22"/>
  <c r="J80" i="22"/>
  <c r="J42" i="22"/>
  <c r="J43" i="22"/>
  <c r="J44" i="22"/>
  <c r="J45" i="22"/>
  <c r="J81" i="22"/>
  <c r="J82" i="22"/>
  <c r="I62" i="22"/>
  <c r="I63" i="22"/>
  <c r="K76" i="22"/>
  <c r="K77" i="22"/>
  <c r="K34" i="22"/>
  <c r="K78" i="22"/>
  <c r="K79" i="22"/>
  <c r="K24" i="22"/>
  <c r="K25" i="22"/>
  <c r="K27" i="22"/>
  <c r="K28" i="22"/>
  <c r="K80" i="22"/>
  <c r="K42" i="22"/>
  <c r="K43" i="22"/>
  <c r="K44" i="22"/>
  <c r="K45" i="22"/>
  <c r="K81" i="22"/>
  <c r="K82" i="22"/>
  <c r="J62" i="22"/>
  <c r="J63" i="22"/>
  <c r="L76" i="22"/>
  <c r="L77" i="22"/>
  <c r="L34" i="22"/>
  <c r="L78" i="22"/>
  <c r="L79" i="22"/>
  <c r="L24" i="22"/>
  <c r="L25" i="22"/>
  <c r="L27" i="22"/>
  <c r="L28" i="22"/>
  <c r="L80" i="22"/>
  <c r="L42" i="22"/>
  <c r="L43" i="22"/>
  <c r="L44" i="22"/>
  <c r="L45" i="22"/>
  <c r="L81" i="22"/>
  <c r="L82" i="22"/>
  <c r="K62" i="22"/>
  <c r="K63" i="22"/>
  <c r="M16" i="22"/>
  <c r="M17" i="22" s="1"/>
  <c r="M75" i="22" s="1"/>
  <c r="M76" i="22"/>
  <c r="M77" i="22"/>
  <c r="M34" i="22"/>
  <c r="M78" i="22"/>
  <c r="M79" i="22"/>
  <c r="M24" i="22"/>
  <c r="M25" i="22"/>
  <c r="M27" i="22"/>
  <c r="M28" i="22"/>
  <c r="M80" i="22"/>
  <c r="M42" i="22"/>
  <c r="M43" i="22"/>
  <c r="M44" i="22"/>
  <c r="M45" i="22"/>
  <c r="M81" i="22"/>
  <c r="M82" i="22"/>
  <c r="L62" i="22"/>
  <c r="L63" i="22"/>
  <c r="N76" i="22"/>
  <c r="N77" i="22"/>
  <c r="N34" i="22"/>
  <c r="N78" i="22"/>
  <c r="N79" i="22"/>
  <c r="N24" i="22"/>
  <c r="N25" i="22"/>
  <c r="N27" i="22"/>
  <c r="N28" i="22"/>
  <c r="N80" i="22"/>
  <c r="N42" i="22"/>
  <c r="N43" i="22"/>
  <c r="N44" i="22"/>
  <c r="N45" i="22"/>
  <c r="N81" i="22"/>
  <c r="N82" i="22"/>
  <c r="M62" i="22"/>
  <c r="M63" i="22"/>
  <c r="C169" i="22"/>
  <c r="C171" i="22"/>
  <c r="C116" i="22"/>
  <c r="C117" i="22"/>
  <c r="C120" i="22"/>
  <c r="C121" i="22"/>
  <c r="C172" i="22"/>
  <c r="P43" i="22"/>
  <c r="C136" i="22"/>
  <c r="C137" i="22"/>
  <c r="C173" i="22"/>
  <c r="C144" i="22"/>
  <c r="C145" i="22"/>
  <c r="C174" i="22"/>
  <c r="N62" i="22"/>
  <c r="N63" i="22"/>
  <c r="D169" i="22"/>
  <c r="D127" i="22"/>
  <c r="D170" i="22"/>
  <c r="D171" i="22"/>
  <c r="D116" i="22"/>
  <c r="D117" i="22"/>
  <c r="D120" i="22"/>
  <c r="D121" i="22"/>
  <c r="D172" i="22"/>
  <c r="D136" i="22"/>
  <c r="D137" i="22"/>
  <c r="D173" i="22"/>
  <c r="D144" i="22"/>
  <c r="D145" i="22"/>
  <c r="D174" i="22"/>
  <c r="C154" i="22"/>
  <c r="C155" i="22"/>
  <c r="E169" i="22"/>
  <c r="E127" i="22"/>
  <c r="E170" i="22"/>
  <c r="E171" i="22"/>
  <c r="E116" i="22"/>
  <c r="E117" i="22"/>
  <c r="E120" i="22"/>
  <c r="E121" i="22"/>
  <c r="E172" i="22"/>
  <c r="E136" i="22"/>
  <c r="E137" i="22"/>
  <c r="E173" i="22"/>
  <c r="E144" i="22"/>
  <c r="E145" i="22"/>
  <c r="E174" i="22"/>
  <c r="D154" i="22"/>
  <c r="D155" i="22"/>
  <c r="F169" i="22"/>
  <c r="F127" i="22"/>
  <c r="F170" i="22"/>
  <c r="F171" i="22"/>
  <c r="F116" i="22"/>
  <c r="F117" i="22"/>
  <c r="F120" i="22"/>
  <c r="F121" i="22"/>
  <c r="F172" i="22"/>
  <c r="F136" i="22"/>
  <c r="F137" i="22"/>
  <c r="F173" i="22"/>
  <c r="F144" i="22"/>
  <c r="F145" i="22"/>
  <c r="F174" i="22"/>
  <c r="E154" i="22"/>
  <c r="E155" i="22"/>
  <c r="G169" i="22"/>
  <c r="G127" i="22"/>
  <c r="G170" i="22"/>
  <c r="G171" i="22"/>
  <c r="G116" i="22"/>
  <c r="G117" i="22"/>
  <c r="G120" i="22"/>
  <c r="G121" i="22"/>
  <c r="G172" i="22"/>
  <c r="G136" i="22"/>
  <c r="G137" i="22"/>
  <c r="G173" i="22"/>
  <c r="G144" i="22"/>
  <c r="G145" i="22"/>
  <c r="G174" i="22"/>
  <c r="F154" i="22"/>
  <c r="F155" i="22"/>
  <c r="H169" i="22"/>
  <c r="H127" i="22"/>
  <c r="H170" i="22"/>
  <c r="H171" i="22"/>
  <c r="H116" i="22"/>
  <c r="H117" i="22"/>
  <c r="H118" i="22"/>
  <c r="H119" i="22"/>
  <c r="H120" i="22"/>
  <c r="H121" i="22"/>
  <c r="H172" i="22"/>
  <c r="H136" i="22"/>
  <c r="H137" i="22"/>
  <c r="H173" i="22"/>
  <c r="H144" i="22"/>
  <c r="H145" i="22"/>
  <c r="H174" i="22"/>
  <c r="G154" i="22"/>
  <c r="G155" i="22"/>
  <c r="I169" i="22"/>
  <c r="I127" i="22"/>
  <c r="I170" i="22"/>
  <c r="I171" i="22"/>
  <c r="I116" i="22"/>
  <c r="I117" i="22"/>
  <c r="I118" i="22"/>
  <c r="I119" i="22"/>
  <c r="I120" i="22"/>
  <c r="I121" i="22"/>
  <c r="I172" i="22"/>
  <c r="I136" i="22"/>
  <c r="I137" i="22"/>
  <c r="I173" i="22"/>
  <c r="I144" i="22"/>
  <c r="I145" i="22"/>
  <c r="I174" i="22"/>
  <c r="H154" i="22"/>
  <c r="H155" i="22"/>
  <c r="J169" i="22"/>
  <c r="J127" i="22"/>
  <c r="J170" i="22"/>
  <c r="J171" i="22"/>
  <c r="J116" i="22"/>
  <c r="J117" i="22"/>
  <c r="J118" i="22"/>
  <c r="J119" i="22"/>
  <c r="J120" i="22"/>
  <c r="J121" i="22"/>
  <c r="J172" i="22"/>
  <c r="J136" i="22"/>
  <c r="J137" i="22"/>
  <c r="J173" i="22"/>
  <c r="J144" i="22"/>
  <c r="J145" i="22"/>
  <c r="J174" i="22"/>
  <c r="I154" i="22"/>
  <c r="I155" i="22"/>
  <c r="K169" i="22"/>
  <c r="K127" i="22"/>
  <c r="K170" i="22"/>
  <c r="K171" i="22"/>
  <c r="K116" i="22"/>
  <c r="K117" i="22"/>
  <c r="K118" i="22"/>
  <c r="K119" i="22"/>
  <c r="K120" i="22"/>
  <c r="K121" i="22"/>
  <c r="K172" i="22"/>
  <c r="K136" i="22"/>
  <c r="K137" i="22"/>
  <c r="K173" i="22"/>
  <c r="K144" i="22"/>
  <c r="K145" i="22"/>
  <c r="K174" i="22"/>
  <c r="J154" i="22"/>
  <c r="J155" i="22"/>
  <c r="L169" i="22"/>
  <c r="L127" i="22"/>
  <c r="L170" i="22"/>
  <c r="L171" i="22"/>
  <c r="L116" i="22"/>
  <c r="L117" i="22"/>
  <c r="L118" i="22"/>
  <c r="L119" i="22"/>
  <c r="L120" i="22"/>
  <c r="L121" i="22"/>
  <c r="L172" i="22"/>
  <c r="L136" i="22"/>
  <c r="L137" i="22"/>
  <c r="L173" i="22"/>
  <c r="L144" i="22"/>
  <c r="L145" i="22"/>
  <c r="L174" i="22"/>
  <c r="K154" i="22"/>
  <c r="K155" i="22"/>
  <c r="M169" i="22"/>
  <c r="M127" i="22"/>
  <c r="M170" i="22"/>
  <c r="M171" i="22"/>
  <c r="M116" i="22"/>
  <c r="M117" i="22"/>
  <c r="M118" i="22"/>
  <c r="M119" i="22"/>
  <c r="M120" i="22"/>
  <c r="M121" i="22"/>
  <c r="M172" i="22"/>
  <c r="M136" i="22"/>
  <c r="M137" i="22"/>
  <c r="M173" i="22"/>
  <c r="M144" i="22"/>
  <c r="M145" i="22"/>
  <c r="M174" i="22"/>
  <c r="L154" i="22"/>
  <c r="L155" i="22"/>
  <c r="N169" i="22"/>
  <c r="N127" i="22"/>
  <c r="N170" i="22"/>
  <c r="N171" i="22"/>
  <c r="N117" i="22"/>
  <c r="N120" i="22"/>
  <c r="N121" i="22"/>
  <c r="N172" i="22"/>
  <c r="N136" i="22"/>
  <c r="N137" i="22"/>
  <c r="N173" i="22"/>
  <c r="N145" i="22"/>
  <c r="N174" i="22"/>
  <c r="M154" i="22"/>
  <c r="M155" i="22"/>
  <c r="D261" i="22"/>
  <c r="D219" i="22"/>
  <c r="D262" i="22"/>
  <c r="D263" i="22"/>
  <c r="D207" i="22"/>
  <c r="D208" i="22"/>
  <c r="D209" i="22"/>
  <c r="D210" i="22"/>
  <c r="D211" i="22"/>
  <c r="D212" i="22"/>
  <c r="D213" i="22"/>
  <c r="D264" i="22"/>
  <c r="D227" i="22"/>
  <c r="D228" i="22"/>
  <c r="D229" i="22"/>
  <c r="D265" i="22"/>
  <c r="D236" i="22"/>
  <c r="D237" i="22"/>
  <c r="D266" i="22"/>
  <c r="C246" i="22"/>
  <c r="C247" i="22"/>
  <c r="D246" i="22"/>
  <c r="D247" i="22"/>
  <c r="E261" i="22"/>
  <c r="E219" i="22"/>
  <c r="E262" i="22"/>
  <c r="E263" i="22"/>
  <c r="E207" i="22"/>
  <c r="E208" i="22"/>
  <c r="E209" i="22"/>
  <c r="E210" i="22"/>
  <c r="E211" i="22"/>
  <c r="E212" i="22"/>
  <c r="E213" i="22"/>
  <c r="E264" i="22"/>
  <c r="E227" i="22"/>
  <c r="E228" i="22"/>
  <c r="E229" i="22"/>
  <c r="E265" i="22"/>
  <c r="E236" i="22"/>
  <c r="E237" i="22"/>
  <c r="E266" i="22"/>
  <c r="E246" i="22"/>
  <c r="E247" i="22"/>
  <c r="F261" i="22"/>
  <c r="F219" i="22"/>
  <c r="F262" i="22"/>
  <c r="F263" i="22"/>
  <c r="F207" i="22"/>
  <c r="F208" i="22"/>
  <c r="F209" i="22"/>
  <c r="F210" i="22"/>
  <c r="F211" i="22"/>
  <c r="F212" i="22"/>
  <c r="F213" i="22"/>
  <c r="F264" i="22"/>
  <c r="F227" i="22"/>
  <c r="F228" i="22"/>
  <c r="F229" i="22"/>
  <c r="F265" i="22"/>
  <c r="F236" i="22"/>
  <c r="F237" i="22"/>
  <c r="F266" i="22"/>
  <c r="F246" i="22"/>
  <c r="F247" i="22"/>
  <c r="G261" i="22"/>
  <c r="G219" i="22"/>
  <c r="G262" i="22"/>
  <c r="G263" i="22"/>
  <c r="G207" i="22"/>
  <c r="G208" i="22"/>
  <c r="G209" i="22"/>
  <c r="G210" i="22"/>
  <c r="G211" i="22"/>
  <c r="G212" i="22"/>
  <c r="G213" i="22"/>
  <c r="G264" i="22"/>
  <c r="G227" i="22"/>
  <c r="G228" i="22"/>
  <c r="G229" i="22"/>
  <c r="G265" i="22"/>
  <c r="G236" i="22"/>
  <c r="G237" i="22"/>
  <c r="G266" i="22"/>
  <c r="G246" i="22"/>
  <c r="G247" i="22"/>
  <c r="H261" i="22"/>
  <c r="H219" i="22"/>
  <c r="H262" i="22"/>
  <c r="H263" i="22"/>
  <c r="H207" i="22"/>
  <c r="H208" i="22"/>
  <c r="H209" i="22"/>
  <c r="H210" i="22"/>
  <c r="H211" i="22"/>
  <c r="H212" i="22"/>
  <c r="H213" i="22"/>
  <c r="H264" i="22"/>
  <c r="H227" i="22"/>
  <c r="H228" i="22"/>
  <c r="H229" i="22"/>
  <c r="H265" i="22"/>
  <c r="H236" i="22"/>
  <c r="H237" i="22"/>
  <c r="H266" i="22"/>
  <c r="H246" i="22"/>
  <c r="H247" i="22"/>
  <c r="I261" i="22"/>
  <c r="I219" i="22"/>
  <c r="I262" i="22"/>
  <c r="I263" i="22"/>
  <c r="I207" i="22"/>
  <c r="I208" i="22"/>
  <c r="I209" i="22"/>
  <c r="I210" i="22"/>
  <c r="I211" i="22"/>
  <c r="I212" i="22"/>
  <c r="I213" i="22"/>
  <c r="I264" i="22"/>
  <c r="I227" i="22"/>
  <c r="I228" i="22"/>
  <c r="I229" i="22"/>
  <c r="I265" i="22"/>
  <c r="I236" i="22"/>
  <c r="I237" i="22"/>
  <c r="I266" i="22"/>
  <c r="I246" i="22"/>
  <c r="I247" i="22"/>
  <c r="J261" i="22"/>
  <c r="J219" i="22"/>
  <c r="J262" i="22"/>
  <c r="J263" i="22"/>
  <c r="J207" i="22"/>
  <c r="J208" i="22"/>
  <c r="J209" i="22"/>
  <c r="J210" i="22"/>
  <c r="J211" i="22"/>
  <c r="J212" i="22"/>
  <c r="J213" i="22"/>
  <c r="J264" i="22"/>
  <c r="J227" i="22"/>
  <c r="J228" i="22"/>
  <c r="J229" i="22"/>
  <c r="J265" i="22"/>
  <c r="J236" i="22"/>
  <c r="J237" i="22"/>
  <c r="J266" i="22"/>
  <c r="J246" i="22"/>
  <c r="J247" i="22"/>
  <c r="K261" i="22"/>
  <c r="K219" i="22"/>
  <c r="K262" i="22"/>
  <c r="K263" i="22"/>
  <c r="K207" i="22"/>
  <c r="K208" i="22"/>
  <c r="K209" i="22"/>
  <c r="K210" i="22"/>
  <c r="K211" i="22"/>
  <c r="K212" i="22"/>
  <c r="K213" i="22"/>
  <c r="K264" i="22"/>
  <c r="K227" i="22"/>
  <c r="K228" i="22"/>
  <c r="K229" i="22"/>
  <c r="K265" i="22"/>
  <c r="K236" i="22"/>
  <c r="K237" i="22"/>
  <c r="K266" i="22"/>
  <c r="K246" i="22"/>
  <c r="K247" i="22"/>
  <c r="L261" i="22"/>
  <c r="L219" i="22"/>
  <c r="L262" i="22"/>
  <c r="L263" i="22"/>
  <c r="L207" i="22"/>
  <c r="L208" i="22"/>
  <c r="L209" i="22"/>
  <c r="L210" i="22"/>
  <c r="L211" i="22"/>
  <c r="L212" i="22"/>
  <c r="L213" i="22"/>
  <c r="L264" i="22"/>
  <c r="L227" i="22"/>
  <c r="L228" i="22"/>
  <c r="L229" i="22"/>
  <c r="L265" i="22"/>
  <c r="L236" i="22"/>
  <c r="L237" i="22"/>
  <c r="L266" i="22"/>
  <c r="L246" i="22"/>
  <c r="L247" i="22"/>
  <c r="M261" i="22"/>
  <c r="M219" i="22"/>
  <c r="M262" i="22"/>
  <c r="M263" i="22"/>
  <c r="M207" i="22"/>
  <c r="M208" i="22"/>
  <c r="M209" i="22"/>
  <c r="M210" i="22"/>
  <c r="M211" i="22"/>
  <c r="M212" i="22"/>
  <c r="M213" i="22"/>
  <c r="M264" i="22"/>
  <c r="M227" i="22"/>
  <c r="M228" i="22"/>
  <c r="M229" i="22"/>
  <c r="M265" i="22"/>
  <c r="M236" i="22"/>
  <c r="M237" i="22"/>
  <c r="M266" i="22"/>
  <c r="M246" i="22"/>
  <c r="M247" i="22"/>
  <c r="N261" i="22"/>
  <c r="N219" i="22"/>
  <c r="N262" i="22"/>
  <c r="N263" i="22"/>
  <c r="N207" i="22"/>
  <c r="N208" i="22"/>
  <c r="N209" i="22"/>
  <c r="N210" i="22"/>
  <c r="N211" i="22"/>
  <c r="N212" i="22"/>
  <c r="N213" i="22"/>
  <c r="N264" i="22"/>
  <c r="N227" i="22"/>
  <c r="N228" i="22"/>
  <c r="N229" i="22"/>
  <c r="N265" i="22"/>
  <c r="N236" i="22"/>
  <c r="N237" i="22"/>
  <c r="N266" i="22"/>
  <c r="T82" i="14"/>
  <c r="D5" i="14"/>
  <c r="D6" i="14" s="1"/>
  <c r="D59" i="14" s="1"/>
  <c r="E5" i="14"/>
  <c r="E14" i="14" s="1"/>
  <c r="E15" i="14" s="1"/>
  <c r="E60" i="14" s="1"/>
  <c r="E63" i="14" s="1"/>
  <c r="F5" i="14"/>
  <c r="F6" i="14" s="1"/>
  <c r="G5" i="14"/>
  <c r="G14" i="14" s="1"/>
  <c r="H5" i="14"/>
  <c r="H6" i="14" s="1"/>
  <c r="I5" i="14"/>
  <c r="J5" i="14"/>
  <c r="J6" i="14" s="1"/>
  <c r="J59" i="14" s="1"/>
  <c r="K5" i="14"/>
  <c r="K14" i="14" s="1"/>
  <c r="K15" i="14" s="1"/>
  <c r="K60" i="14" s="1"/>
  <c r="K63" i="14" s="1"/>
  <c r="L5" i="14"/>
  <c r="L14" i="14" s="1"/>
  <c r="M5" i="14"/>
  <c r="M6" i="14" s="1"/>
  <c r="M59" i="14" s="1"/>
  <c r="N5" i="14"/>
  <c r="M14" i="33"/>
  <c r="M15" i="33" s="1"/>
  <c r="M62" i="33" s="1"/>
  <c r="M65" i="33" s="1"/>
  <c r="AA262" i="14"/>
  <c r="AA171" i="14"/>
  <c r="T263" i="14"/>
  <c r="T172" i="14"/>
  <c r="Z151" i="14"/>
  <c r="V242" i="14"/>
  <c r="W242" i="14"/>
  <c r="X242" i="14"/>
  <c r="Y242" i="14"/>
  <c r="Z242" i="14"/>
  <c r="AA242" i="14"/>
  <c r="AB242" i="14"/>
  <c r="AC242" i="14"/>
  <c r="AD242" i="14"/>
  <c r="AE242" i="14"/>
  <c r="AD148" i="14"/>
  <c r="AA83" i="33"/>
  <c r="T156" i="33"/>
  <c r="C8" i="33"/>
  <c r="C73" i="33" s="1"/>
  <c r="C75" i="33" s="1"/>
  <c r="T50" i="33" s="1"/>
  <c r="T54" i="33" s="1"/>
  <c r="AA268" i="33"/>
  <c r="Y268" i="33"/>
  <c r="X267" i="33"/>
  <c r="N267" i="33"/>
  <c r="M267" i="33"/>
  <c r="J266" i="33"/>
  <c r="I266" i="33"/>
  <c r="H266" i="33"/>
  <c r="G266" i="33"/>
  <c r="F266" i="33"/>
  <c r="E266" i="33"/>
  <c r="N264" i="33"/>
  <c r="M264" i="33"/>
  <c r="L264" i="33"/>
  <c r="K264" i="33"/>
  <c r="J264" i="33"/>
  <c r="I264" i="33"/>
  <c r="H264" i="33"/>
  <c r="G264" i="33"/>
  <c r="F264" i="33"/>
  <c r="E264" i="33"/>
  <c r="D264" i="33"/>
  <c r="C264" i="33"/>
  <c r="E263" i="33"/>
  <c r="H262" i="33"/>
  <c r="G262" i="33"/>
  <c r="F262" i="33"/>
  <c r="AE251" i="33"/>
  <c r="AD251" i="33"/>
  <c r="AC251" i="33"/>
  <c r="AB251" i="33"/>
  <c r="AA251" i="33"/>
  <c r="Z251" i="33"/>
  <c r="Y251" i="33"/>
  <c r="X251" i="33"/>
  <c r="W251" i="33"/>
  <c r="V251" i="33"/>
  <c r="U251" i="33"/>
  <c r="T251" i="33"/>
  <c r="N248" i="33"/>
  <c r="F248" i="33"/>
  <c r="E248" i="33"/>
  <c r="D248" i="33"/>
  <c r="C248" i="33"/>
  <c r="N239" i="33"/>
  <c r="M239" i="33"/>
  <c r="D239" i="33"/>
  <c r="C239" i="33"/>
  <c r="N238" i="33"/>
  <c r="M238" i="33"/>
  <c r="F238" i="33"/>
  <c r="F239" i="33"/>
  <c r="N237" i="33"/>
  <c r="M237" i="33"/>
  <c r="M248" i="33"/>
  <c r="L237" i="33"/>
  <c r="K237" i="33"/>
  <c r="J237" i="33"/>
  <c r="I237" i="33"/>
  <c r="H237" i="33"/>
  <c r="G237" i="33"/>
  <c r="F237" i="33"/>
  <c r="E237" i="33"/>
  <c r="E238" i="33"/>
  <c r="D237" i="33"/>
  <c r="D238" i="33"/>
  <c r="D267" i="33"/>
  <c r="C237" i="33"/>
  <c r="C238" i="33"/>
  <c r="C267" i="33"/>
  <c r="P236" i="33"/>
  <c r="I230" i="33"/>
  <c r="H230" i="33"/>
  <c r="G230" i="33"/>
  <c r="F230" i="33"/>
  <c r="E230" i="33"/>
  <c r="D230" i="33"/>
  <c r="D266" i="33"/>
  <c r="C230" i="33"/>
  <c r="C266" i="33"/>
  <c r="N229" i="33"/>
  <c r="N230" i="33"/>
  <c r="N266" i="33"/>
  <c r="M229" i="33"/>
  <c r="M230" i="33"/>
  <c r="M266" i="33"/>
  <c r="L229" i="33"/>
  <c r="L230" i="33"/>
  <c r="L266" i="33"/>
  <c r="K229" i="33"/>
  <c r="K230" i="33"/>
  <c r="K266" i="33"/>
  <c r="J229" i="33"/>
  <c r="J230" i="33"/>
  <c r="I229" i="33"/>
  <c r="H229" i="33"/>
  <c r="G229" i="33"/>
  <c r="F229" i="33"/>
  <c r="E229" i="33"/>
  <c r="D229" i="33"/>
  <c r="C229" i="33"/>
  <c r="P226" i="33"/>
  <c r="T265" i="33"/>
  <c r="P220" i="33"/>
  <c r="N220" i="33"/>
  <c r="N263" i="33"/>
  <c r="M220" i="33"/>
  <c r="M263" i="33"/>
  <c r="L220" i="33"/>
  <c r="L263" i="33"/>
  <c r="K220" i="33"/>
  <c r="K263" i="33"/>
  <c r="J220" i="33"/>
  <c r="J263" i="33"/>
  <c r="I220" i="33"/>
  <c r="I263" i="33"/>
  <c r="N219" i="33"/>
  <c r="M219" i="33"/>
  <c r="L219" i="33"/>
  <c r="K219" i="33"/>
  <c r="J219" i="33"/>
  <c r="H219" i="33"/>
  <c r="F219" i="33"/>
  <c r="G220" i="33"/>
  <c r="G263" i="33"/>
  <c r="M218" i="33"/>
  <c r="M262" i="33"/>
  <c r="L218" i="33"/>
  <c r="L262" i="33"/>
  <c r="K218" i="33"/>
  <c r="K262" i="33"/>
  <c r="J218" i="33"/>
  <c r="J262" i="33"/>
  <c r="I218" i="33"/>
  <c r="I262" i="33"/>
  <c r="D218" i="33"/>
  <c r="D262" i="33"/>
  <c r="C218" i="33"/>
  <c r="N217" i="33"/>
  <c r="N218" i="33"/>
  <c r="N262" i="33"/>
  <c r="M217" i="33"/>
  <c r="L217" i="33"/>
  <c r="K217" i="33"/>
  <c r="J217" i="33"/>
  <c r="I217" i="33"/>
  <c r="I219" i="33"/>
  <c r="H217" i="33"/>
  <c r="H218" i="33"/>
  <c r="G217" i="33"/>
  <c r="G218" i="33"/>
  <c r="F217" i="33"/>
  <c r="F218" i="33"/>
  <c r="E217" i="33"/>
  <c r="D217" i="33"/>
  <c r="D219" i="33"/>
  <c r="E220" i="33"/>
  <c r="C217" i="33"/>
  <c r="C219" i="33"/>
  <c r="D220" i="33"/>
  <c r="D263" i="33"/>
  <c r="N216" i="33"/>
  <c r="M216" i="33"/>
  <c r="L216" i="33"/>
  <c r="K216" i="33"/>
  <c r="J216" i="33"/>
  <c r="I216" i="33"/>
  <c r="H216" i="33"/>
  <c r="G216" i="33"/>
  <c r="F216" i="33"/>
  <c r="E216" i="33"/>
  <c r="D216" i="33"/>
  <c r="C216" i="33"/>
  <c r="P211" i="33"/>
  <c r="N211" i="33"/>
  <c r="M211" i="33"/>
  <c r="G211" i="33"/>
  <c r="F211" i="33"/>
  <c r="E211" i="33"/>
  <c r="D211" i="33"/>
  <c r="P210" i="33"/>
  <c r="N210" i="33"/>
  <c r="L210" i="33"/>
  <c r="K210" i="33"/>
  <c r="J210" i="33"/>
  <c r="D210" i="33"/>
  <c r="C210" i="33"/>
  <c r="P209" i="33"/>
  <c r="T264" i="33"/>
  <c r="N209" i="33"/>
  <c r="M209" i="33"/>
  <c r="L209" i="33"/>
  <c r="K209" i="33"/>
  <c r="J209" i="33"/>
  <c r="I209" i="33"/>
  <c r="N208" i="33"/>
  <c r="M208" i="33"/>
  <c r="L208" i="33"/>
  <c r="K208" i="33"/>
  <c r="J208" i="33"/>
  <c r="I208" i="33"/>
  <c r="H208" i="33"/>
  <c r="G208" i="33"/>
  <c r="F208" i="33"/>
  <c r="E208" i="33"/>
  <c r="D208" i="33"/>
  <c r="C208" i="33"/>
  <c r="P207" i="33"/>
  <c r="AA176" i="33"/>
  <c r="AA271" i="33"/>
  <c r="E174" i="33"/>
  <c r="Y173" i="33"/>
  <c r="X172" i="33"/>
  <c r="N172" i="33"/>
  <c r="M172" i="33"/>
  <c r="L172" i="33"/>
  <c r="K172" i="33"/>
  <c r="J172" i="33"/>
  <c r="I172" i="33"/>
  <c r="H172" i="33"/>
  <c r="G172" i="33"/>
  <c r="F172" i="33"/>
  <c r="E172" i="33"/>
  <c r="D172" i="33"/>
  <c r="C172" i="33"/>
  <c r="N171" i="33"/>
  <c r="M171" i="33"/>
  <c r="L171" i="33"/>
  <c r="D171" i="33"/>
  <c r="N170" i="33"/>
  <c r="M170" i="33"/>
  <c r="L170" i="33"/>
  <c r="AE156" i="33"/>
  <c r="AD156" i="33"/>
  <c r="AC156" i="33"/>
  <c r="AB156" i="33"/>
  <c r="AA156" i="33"/>
  <c r="Z156" i="33"/>
  <c r="Y156" i="33"/>
  <c r="X156" i="33"/>
  <c r="W156" i="33"/>
  <c r="V156" i="33"/>
  <c r="U156" i="33"/>
  <c r="I156" i="33"/>
  <c r="H156" i="33"/>
  <c r="J146" i="33"/>
  <c r="I146" i="33"/>
  <c r="H146" i="33"/>
  <c r="N145" i="33"/>
  <c r="M145" i="33"/>
  <c r="L145" i="33"/>
  <c r="K145" i="33"/>
  <c r="J145" i="33"/>
  <c r="J156" i="33"/>
  <c r="I145" i="33"/>
  <c r="H145" i="33"/>
  <c r="G145" i="33"/>
  <c r="F145" i="33"/>
  <c r="E145" i="33"/>
  <c r="D145" i="33"/>
  <c r="C145" i="33"/>
  <c r="C156" i="33"/>
  <c r="P144" i="33"/>
  <c r="E138" i="33"/>
  <c r="P137" i="33"/>
  <c r="E137" i="33"/>
  <c r="D137" i="33"/>
  <c r="C137" i="33"/>
  <c r="P136" i="33"/>
  <c r="N136" i="33"/>
  <c r="M136" i="33"/>
  <c r="L136" i="33"/>
  <c r="K136" i="33"/>
  <c r="E136" i="33"/>
  <c r="D136" i="33"/>
  <c r="D138" i="33"/>
  <c r="D174" i="33"/>
  <c r="C136" i="33"/>
  <c r="C138" i="33"/>
  <c r="C174" i="33"/>
  <c r="P134" i="33"/>
  <c r="T170" i="33"/>
  <c r="K128" i="33"/>
  <c r="K171" i="33"/>
  <c r="J128" i="33"/>
  <c r="J171" i="33"/>
  <c r="N127" i="33"/>
  <c r="P128" i="33"/>
  <c r="C220" i="33"/>
  <c r="C263" i="33"/>
  <c r="M127" i="33"/>
  <c r="N128" i="33"/>
  <c r="L127" i="33"/>
  <c r="M128" i="33"/>
  <c r="K127" i="33"/>
  <c r="L128" i="33"/>
  <c r="J127" i="33"/>
  <c r="I127" i="33"/>
  <c r="H127" i="33"/>
  <c r="I128" i="33"/>
  <c r="I171" i="33"/>
  <c r="M126" i="33"/>
  <c r="L126" i="33"/>
  <c r="K126" i="33"/>
  <c r="K170" i="33"/>
  <c r="J126" i="33"/>
  <c r="J170" i="33"/>
  <c r="I126" i="33"/>
  <c r="I170" i="33"/>
  <c r="H126" i="33"/>
  <c r="H170" i="33"/>
  <c r="C126" i="33"/>
  <c r="N125" i="33"/>
  <c r="N126" i="33"/>
  <c r="M125" i="33"/>
  <c r="L125" i="33"/>
  <c r="K125" i="33"/>
  <c r="J125" i="33"/>
  <c r="I125" i="33"/>
  <c r="H125" i="33"/>
  <c r="G125" i="33"/>
  <c r="F125" i="33"/>
  <c r="E125" i="33"/>
  <c r="D125" i="33"/>
  <c r="C125" i="33"/>
  <c r="C127" i="33"/>
  <c r="D128" i="33"/>
  <c r="N124" i="33"/>
  <c r="M124" i="33"/>
  <c r="L124" i="33"/>
  <c r="K124" i="33"/>
  <c r="J124" i="33"/>
  <c r="I124" i="33"/>
  <c r="H124" i="33"/>
  <c r="G124" i="33"/>
  <c r="F124" i="33"/>
  <c r="E124" i="33"/>
  <c r="D124" i="33"/>
  <c r="C124" i="33"/>
  <c r="P124" i="33"/>
  <c r="T173" i="33"/>
  <c r="E121" i="33"/>
  <c r="E122" i="33"/>
  <c r="E173" i="33"/>
  <c r="E120" i="33"/>
  <c r="P119" i="33"/>
  <c r="M119" i="33"/>
  <c r="N119" i="33"/>
  <c r="P118" i="33"/>
  <c r="N118" i="33"/>
  <c r="M118" i="33"/>
  <c r="L118" i="33"/>
  <c r="K118" i="33"/>
  <c r="J118" i="33"/>
  <c r="I118" i="33"/>
  <c r="H118" i="33"/>
  <c r="G118" i="33"/>
  <c r="G120" i="33"/>
  <c r="F118" i="33"/>
  <c r="F120" i="33"/>
  <c r="E118" i="33"/>
  <c r="N117" i="33"/>
  <c r="M117" i="33"/>
  <c r="L117" i="33"/>
  <c r="K117" i="33"/>
  <c r="J117" i="33"/>
  <c r="I117" i="33"/>
  <c r="H117" i="33"/>
  <c r="G117" i="33"/>
  <c r="F117" i="33"/>
  <c r="E117" i="33"/>
  <c r="E155" i="33"/>
  <c r="D117" i="33"/>
  <c r="C117" i="33"/>
  <c r="P116" i="33"/>
  <c r="T169" i="33"/>
  <c r="C86" i="33"/>
  <c r="T58" i="33"/>
  <c r="C84" i="33"/>
  <c r="N83" i="33"/>
  <c r="M83" i="33"/>
  <c r="L83" i="33"/>
  <c r="K83" i="33"/>
  <c r="J83" i="33"/>
  <c r="I83" i="33"/>
  <c r="H83" i="33"/>
  <c r="G83" i="33"/>
  <c r="F83" i="33"/>
  <c r="E83" i="33"/>
  <c r="D83" i="33"/>
  <c r="AA81" i="33"/>
  <c r="W80" i="33"/>
  <c r="Y80" i="33" s="1"/>
  <c r="N80" i="33"/>
  <c r="M80" i="33"/>
  <c r="L80" i="33"/>
  <c r="K80" i="33"/>
  <c r="J80" i="33"/>
  <c r="I80" i="33"/>
  <c r="H80" i="33"/>
  <c r="G80" i="33"/>
  <c r="F80" i="33"/>
  <c r="E80" i="33"/>
  <c r="D80" i="33"/>
  <c r="C80" i="33"/>
  <c r="C79" i="33"/>
  <c r="N77" i="33"/>
  <c r="M77" i="33"/>
  <c r="L77" i="33"/>
  <c r="K77" i="33"/>
  <c r="J77" i="33"/>
  <c r="I77" i="33"/>
  <c r="H77" i="33"/>
  <c r="G77" i="33"/>
  <c r="F77" i="33"/>
  <c r="E77" i="33"/>
  <c r="D77" i="33"/>
  <c r="C77" i="33"/>
  <c r="AA76" i="33"/>
  <c r="AA75" i="33"/>
  <c r="W75" i="33"/>
  <c r="W168" i="33" s="1"/>
  <c r="AA74" i="33"/>
  <c r="AA167" i="33" s="1"/>
  <c r="AA262" i="33" s="1"/>
  <c r="W74" i="33"/>
  <c r="W167" i="33"/>
  <c r="W166" i="33" s="1"/>
  <c r="E74" i="33"/>
  <c r="N64" i="33"/>
  <c r="M64" i="33"/>
  <c r="L64" i="33"/>
  <c r="K64" i="33"/>
  <c r="J64" i="33"/>
  <c r="I64" i="33"/>
  <c r="H64" i="33"/>
  <c r="G64" i="33"/>
  <c r="F64" i="33"/>
  <c r="E64" i="33"/>
  <c r="D64" i="33"/>
  <c r="C64" i="33"/>
  <c r="AE56" i="33"/>
  <c r="AD56" i="33"/>
  <c r="AC56" i="33"/>
  <c r="AB56" i="33"/>
  <c r="AA56" i="33"/>
  <c r="Z56" i="33"/>
  <c r="Y56" i="33"/>
  <c r="X56" i="33"/>
  <c r="W56" i="33"/>
  <c r="V56" i="33"/>
  <c r="U56" i="33"/>
  <c r="T84" i="33"/>
  <c r="T85" i="33"/>
  <c r="T86" i="33"/>
  <c r="C53" i="33"/>
  <c r="C54" i="33"/>
  <c r="P52" i="33"/>
  <c r="L46" i="33"/>
  <c r="L82" i="33"/>
  <c r="K46" i="33"/>
  <c r="K82" i="33"/>
  <c r="N45" i="33"/>
  <c r="M45" i="33"/>
  <c r="L45" i="33"/>
  <c r="K45" i="33"/>
  <c r="J45" i="33"/>
  <c r="I45" i="33"/>
  <c r="H45" i="33"/>
  <c r="G45" i="33"/>
  <c r="F45" i="33"/>
  <c r="E45" i="33"/>
  <c r="D45" i="33"/>
  <c r="C45" i="33"/>
  <c r="P45" i="33"/>
  <c r="P44" i="33"/>
  <c r="N44" i="33"/>
  <c r="M44" i="33"/>
  <c r="L44" i="33"/>
  <c r="K44" i="33"/>
  <c r="F44" i="33"/>
  <c r="E44" i="33"/>
  <c r="D44" i="33"/>
  <c r="C44" i="33"/>
  <c r="P43" i="33"/>
  <c r="N43" i="33"/>
  <c r="N46" i="33"/>
  <c r="N82" i="33"/>
  <c r="L43" i="33"/>
  <c r="K43" i="33"/>
  <c r="J43" i="33"/>
  <c r="I43" i="33"/>
  <c r="P41" i="33"/>
  <c r="T77" i="33"/>
  <c r="K35" i="33"/>
  <c r="K79" i="33"/>
  <c r="J35" i="33"/>
  <c r="J79" i="33"/>
  <c r="I35" i="33"/>
  <c r="I79" i="33"/>
  <c r="H35" i="33"/>
  <c r="H79" i="33"/>
  <c r="G35" i="33"/>
  <c r="G79" i="33"/>
  <c r="F35" i="33"/>
  <c r="F79" i="33"/>
  <c r="M34" i="33"/>
  <c r="N35" i="33"/>
  <c r="N79" i="33"/>
  <c r="L34" i="33"/>
  <c r="M35" i="33"/>
  <c r="M79" i="33"/>
  <c r="K34" i="33"/>
  <c r="L35" i="33"/>
  <c r="L79" i="33"/>
  <c r="J34" i="33"/>
  <c r="H34" i="33"/>
  <c r="G34" i="33"/>
  <c r="M33" i="33"/>
  <c r="M78" i="33"/>
  <c r="J33" i="33"/>
  <c r="J78" i="33"/>
  <c r="I33" i="33"/>
  <c r="I78" i="33"/>
  <c r="H33" i="33"/>
  <c r="H78" i="33"/>
  <c r="G33" i="33"/>
  <c r="G78" i="33"/>
  <c r="F33" i="33"/>
  <c r="F78" i="33"/>
  <c r="E33" i="33"/>
  <c r="E78" i="33"/>
  <c r="N32" i="33"/>
  <c r="M32" i="33"/>
  <c r="L32" i="33"/>
  <c r="L33" i="33"/>
  <c r="L78" i="33"/>
  <c r="K32" i="33"/>
  <c r="K33" i="33"/>
  <c r="K78" i="33"/>
  <c r="J32" i="33"/>
  <c r="I32" i="33"/>
  <c r="I34" i="33"/>
  <c r="H32" i="33"/>
  <c r="G32" i="33"/>
  <c r="F32" i="33"/>
  <c r="F34" i="33"/>
  <c r="E32" i="33"/>
  <c r="E34" i="33"/>
  <c r="D32" i="33"/>
  <c r="C32" i="33"/>
  <c r="N31" i="33"/>
  <c r="P31" i="33"/>
  <c r="M31" i="33"/>
  <c r="L31" i="33"/>
  <c r="K31" i="33"/>
  <c r="J31" i="33"/>
  <c r="I31" i="33"/>
  <c r="H31" i="33"/>
  <c r="G31" i="33"/>
  <c r="F31" i="33"/>
  <c r="E31" i="33"/>
  <c r="D31" i="33"/>
  <c r="C31" i="33"/>
  <c r="K27" i="33"/>
  <c r="K28" i="33"/>
  <c r="K81" i="33"/>
  <c r="J27" i="33"/>
  <c r="J28" i="33"/>
  <c r="J81" i="33"/>
  <c r="I27" i="33"/>
  <c r="I28" i="33"/>
  <c r="I81" i="33"/>
  <c r="P25" i="33"/>
  <c r="N25" i="33"/>
  <c r="M25" i="33"/>
  <c r="M26" i="33"/>
  <c r="L25" i="33"/>
  <c r="L26" i="33"/>
  <c r="K25" i="33"/>
  <c r="K26" i="33"/>
  <c r="J25" i="33"/>
  <c r="J26" i="33"/>
  <c r="I25" i="33"/>
  <c r="I26" i="33"/>
  <c r="N24" i="33"/>
  <c r="M24" i="33"/>
  <c r="L24" i="33"/>
  <c r="K24" i="33"/>
  <c r="J24" i="33"/>
  <c r="I24" i="33"/>
  <c r="H24" i="33"/>
  <c r="G24" i="33"/>
  <c r="F24" i="33"/>
  <c r="E24" i="33"/>
  <c r="D24" i="33"/>
  <c r="C24" i="33"/>
  <c r="P23" i="33"/>
  <c r="T151" i="32"/>
  <c r="AA81" i="32"/>
  <c r="C8" i="32"/>
  <c r="C71" i="32" s="1"/>
  <c r="C73" i="32" s="1"/>
  <c r="T48" i="32" s="1"/>
  <c r="T52" i="32" s="1"/>
  <c r="H262" i="32"/>
  <c r="G262" i="32"/>
  <c r="F262" i="32"/>
  <c r="D262" i="32"/>
  <c r="C262" i="32"/>
  <c r="N260" i="32"/>
  <c r="M260" i="32"/>
  <c r="L260" i="32"/>
  <c r="K260" i="32"/>
  <c r="J260" i="32"/>
  <c r="I260" i="32"/>
  <c r="H260" i="32"/>
  <c r="G260" i="32"/>
  <c r="F260" i="32"/>
  <c r="E260" i="32"/>
  <c r="D260" i="32"/>
  <c r="C260" i="32"/>
  <c r="AA259" i="32"/>
  <c r="Y259" i="32"/>
  <c r="X258" i="32"/>
  <c r="W254" i="32"/>
  <c r="W253" i="32"/>
  <c r="AE242" i="32"/>
  <c r="AD242" i="32"/>
  <c r="AC242" i="32"/>
  <c r="AB242" i="32"/>
  <c r="AA242" i="32"/>
  <c r="Z242" i="32"/>
  <c r="Y242" i="32"/>
  <c r="X242" i="32"/>
  <c r="W242" i="32"/>
  <c r="V242" i="32"/>
  <c r="U242" i="32"/>
  <c r="T242" i="32"/>
  <c r="N233" i="32"/>
  <c r="M233" i="32"/>
  <c r="L233" i="32"/>
  <c r="L234" i="32"/>
  <c r="L263" i="32"/>
  <c r="K233" i="32"/>
  <c r="K244" i="32"/>
  <c r="J233" i="32"/>
  <c r="J234" i="32"/>
  <c r="I233" i="32"/>
  <c r="I234" i="32"/>
  <c r="H233" i="32"/>
  <c r="H234" i="32"/>
  <c r="G233" i="32"/>
  <c r="F233" i="32"/>
  <c r="E233" i="32"/>
  <c r="D233" i="32"/>
  <c r="C232" i="32"/>
  <c r="P232" i="32"/>
  <c r="E226" i="32"/>
  <c r="E262" i="32"/>
  <c r="D226" i="32"/>
  <c r="C226" i="32"/>
  <c r="N225" i="32"/>
  <c r="N226" i="32"/>
  <c r="N262" i="32"/>
  <c r="M225" i="32"/>
  <c r="M226" i="32"/>
  <c r="M262" i="32"/>
  <c r="L225" i="32"/>
  <c r="L226" i="32"/>
  <c r="L262" i="32"/>
  <c r="K225" i="32"/>
  <c r="K226" i="32"/>
  <c r="K262" i="32"/>
  <c r="J225" i="32"/>
  <c r="J226" i="32"/>
  <c r="J262" i="32"/>
  <c r="I225" i="32"/>
  <c r="I226" i="32"/>
  <c r="I262" i="32"/>
  <c r="H225" i="32"/>
  <c r="H226" i="32"/>
  <c r="G225" i="32"/>
  <c r="G226" i="32"/>
  <c r="F225" i="32"/>
  <c r="F226" i="32"/>
  <c r="E225" i="32"/>
  <c r="D225" i="32"/>
  <c r="C225" i="32"/>
  <c r="P222" i="32"/>
  <c r="T256" i="32"/>
  <c r="L215" i="32"/>
  <c r="M216" i="32"/>
  <c r="M259" i="32"/>
  <c r="I215" i="32"/>
  <c r="J216" i="32"/>
  <c r="J259" i="32"/>
  <c r="H215" i="32"/>
  <c r="I216" i="32"/>
  <c r="I259" i="32"/>
  <c r="G215" i="32"/>
  <c r="H216" i="32"/>
  <c r="H259" i="32"/>
  <c r="D215" i="32"/>
  <c r="E216" i="32"/>
  <c r="E259" i="32"/>
  <c r="N213" i="32"/>
  <c r="M213" i="32"/>
  <c r="L213" i="32"/>
  <c r="L214" i="32"/>
  <c r="L258" i="32"/>
  <c r="K213" i="32"/>
  <c r="J213" i="32"/>
  <c r="I213" i="32"/>
  <c r="I214" i="32"/>
  <c r="I258" i="32"/>
  <c r="H213" i="32"/>
  <c r="H214" i="32"/>
  <c r="H258" i="32"/>
  <c r="G213" i="32"/>
  <c r="G214" i="32"/>
  <c r="G258" i="32"/>
  <c r="F213" i="32"/>
  <c r="F215" i="32"/>
  <c r="G216" i="32"/>
  <c r="G259" i="32"/>
  <c r="E213" i="32"/>
  <c r="E214" i="32"/>
  <c r="E258" i="32"/>
  <c r="D213" i="32"/>
  <c r="D214" i="32"/>
  <c r="D258" i="32"/>
  <c r="C213" i="32"/>
  <c r="M212" i="32"/>
  <c r="L212" i="32"/>
  <c r="K212" i="32"/>
  <c r="J212" i="32"/>
  <c r="I212" i="32"/>
  <c r="H212" i="32"/>
  <c r="G212" i="32"/>
  <c r="F212" i="32"/>
  <c r="E212" i="32"/>
  <c r="D212" i="32"/>
  <c r="C212" i="32"/>
  <c r="N211" i="32"/>
  <c r="P211" i="32"/>
  <c r="N210" i="32"/>
  <c r="N209" i="32"/>
  <c r="P209" i="32"/>
  <c r="F206" i="32"/>
  <c r="N205" i="32"/>
  <c r="N243" i="32"/>
  <c r="M205" i="32"/>
  <c r="M243" i="32"/>
  <c r="L205" i="32"/>
  <c r="K205" i="32"/>
  <c r="K206" i="32"/>
  <c r="J205" i="32"/>
  <c r="J206" i="32"/>
  <c r="I205" i="32"/>
  <c r="H205" i="32"/>
  <c r="H206" i="32"/>
  <c r="G205" i="32"/>
  <c r="F205" i="32"/>
  <c r="F207" i="32"/>
  <c r="F261" i="32"/>
  <c r="E205" i="32"/>
  <c r="E206" i="32"/>
  <c r="D205" i="32"/>
  <c r="D206" i="32"/>
  <c r="C205" i="32"/>
  <c r="C206" i="32"/>
  <c r="P204" i="32"/>
  <c r="T255" i="32"/>
  <c r="I170" i="32"/>
  <c r="G170" i="32"/>
  <c r="N169" i="32"/>
  <c r="M169" i="32"/>
  <c r="L169" i="32"/>
  <c r="K169" i="32"/>
  <c r="J169" i="32"/>
  <c r="I169" i="32"/>
  <c r="H169" i="32"/>
  <c r="G169" i="32"/>
  <c r="F169" i="32"/>
  <c r="E169" i="32"/>
  <c r="D169" i="32"/>
  <c r="C169" i="32"/>
  <c r="Y168" i="32"/>
  <c r="X167" i="32"/>
  <c r="F167" i="32"/>
  <c r="C167" i="32"/>
  <c r="W163" i="32"/>
  <c r="W162" i="32"/>
  <c r="W161" i="32"/>
  <c r="J153" i="32"/>
  <c r="I152" i="32"/>
  <c r="H152" i="32"/>
  <c r="G152" i="32"/>
  <c r="AE151" i="32"/>
  <c r="AD151" i="32"/>
  <c r="AC151" i="32"/>
  <c r="AB151" i="32"/>
  <c r="AA151" i="32"/>
  <c r="Z151" i="32"/>
  <c r="Y151" i="32"/>
  <c r="X151" i="32"/>
  <c r="W151" i="32"/>
  <c r="V151" i="32"/>
  <c r="U151" i="32"/>
  <c r="K144" i="32"/>
  <c r="E144" i="32"/>
  <c r="N143" i="32"/>
  <c r="J143" i="32"/>
  <c r="J172" i="32"/>
  <c r="G143" i="32"/>
  <c r="N142" i="32"/>
  <c r="N153" i="32"/>
  <c r="M142" i="32"/>
  <c r="L142" i="32"/>
  <c r="K142" i="32"/>
  <c r="K143" i="32"/>
  <c r="K172" i="32"/>
  <c r="J142" i="32"/>
  <c r="I142" i="32"/>
  <c r="I143" i="32"/>
  <c r="I144" i="32"/>
  <c r="G142" i="32"/>
  <c r="G153" i="32"/>
  <c r="F142" i="32"/>
  <c r="E142" i="32"/>
  <c r="E143" i="32"/>
  <c r="E172" i="32"/>
  <c r="D142" i="32"/>
  <c r="C142" i="32"/>
  <c r="H141" i="32"/>
  <c r="H142" i="32"/>
  <c r="P134" i="32"/>
  <c r="P133" i="32"/>
  <c r="I133" i="32"/>
  <c r="P131" i="32"/>
  <c r="T165" i="32"/>
  <c r="N124" i="32"/>
  <c r="P125" i="32"/>
  <c r="C216" i="32"/>
  <c r="C259" i="32"/>
  <c r="M124" i="32"/>
  <c r="N125" i="32"/>
  <c r="N168" i="32"/>
  <c r="L124" i="32"/>
  <c r="M125" i="32"/>
  <c r="M168" i="32"/>
  <c r="G124" i="32"/>
  <c r="H125" i="32"/>
  <c r="H168" i="32"/>
  <c r="C123" i="32"/>
  <c r="N122" i="32"/>
  <c r="N123" i="32"/>
  <c r="N167" i="32"/>
  <c r="M122" i="32"/>
  <c r="M123" i="32"/>
  <c r="M167" i="32"/>
  <c r="L122" i="32"/>
  <c r="L123" i="32"/>
  <c r="L167" i="32"/>
  <c r="K122" i="32"/>
  <c r="K124" i="32"/>
  <c r="L125" i="32"/>
  <c r="L168" i="32"/>
  <c r="J122" i="32"/>
  <c r="I122" i="32"/>
  <c r="H122" i="32"/>
  <c r="H124" i="32"/>
  <c r="I125" i="32"/>
  <c r="I168" i="32"/>
  <c r="G122" i="32"/>
  <c r="G123" i="32"/>
  <c r="G167" i="32"/>
  <c r="F122" i="32"/>
  <c r="F123" i="32"/>
  <c r="E122" i="32"/>
  <c r="D122" i="32"/>
  <c r="C122" i="32"/>
  <c r="C124" i="32"/>
  <c r="M121" i="32"/>
  <c r="L121" i="32"/>
  <c r="K121" i="32"/>
  <c r="J121" i="32"/>
  <c r="I121" i="32"/>
  <c r="H121" i="32"/>
  <c r="G121" i="32"/>
  <c r="F121" i="32"/>
  <c r="E121" i="32"/>
  <c r="D121" i="32"/>
  <c r="C121" i="32"/>
  <c r="N120" i="32"/>
  <c r="P119" i="32"/>
  <c r="N119" i="32"/>
  <c r="E117" i="32"/>
  <c r="E170" i="32"/>
  <c r="J116" i="32"/>
  <c r="H116" i="32"/>
  <c r="G116" i="32"/>
  <c r="N115" i="32"/>
  <c r="N117" i="32"/>
  <c r="N170" i="32"/>
  <c r="M115" i="32"/>
  <c r="M152" i="32"/>
  <c r="L115" i="32"/>
  <c r="L117" i="32"/>
  <c r="L170" i="32"/>
  <c r="K115" i="32"/>
  <c r="K117" i="32"/>
  <c r="K170" i="32"/>
  <c r="J115" i="32"/>
  <c r="J117" i="32"/>
  <c r="J170" i="32"/>
  <c r="I115" i="32"/>
  <c r="I117" i="32"/>
  <c r="H115" i="32"/>
  <c r="H117" i="32"/>
  <c r="H170" i="32"/>
  <c r="G115" i="32"/>
  <c r="G117" i="32"/>
  <c r="F115" i="32"/>
  <c r="E115" i="32"/>
  <c r="D115" i="32"/>
  <c r="C115" i="32"/>
  <c r="P114" i="32"/>
  <c r="T164" i="32"/>
  <c r="C84" i="32"/>
  <c r="T56" i="32" s="1"/>
  <c r="C82" i="32"/>
  <c r="N81" i="32"/>
  <c r="M81" i="32"/>
  <c r="L81" i="32"/>
  <c r="K81" i="32"/>
  <c r="J81" i="32"/>
  <c r="I81" i="32"/>
  <c r="H81" i="32"/>
  <c r="G81" i="32"/>
  <c r="F81" i="32"/>
  <c r="E81" i="32"/>
  <c r="D81" i="32"/>
  <c r="AA79" i="32"/>
  <c r="W78" i="32"/>
  <c r="Y78" i="32"/>
  <c r="N78" i="32"/>
  <c r="M78" i="32"/>
  <c r="L78" i="32"/>
  <c r="K78" i="32"/>
  <c r="J78" i="32"/>
  <c r="I78" i="32"/>
  <c r="H78" i="32"/>
  <c r="G78" i="32"/>
  <c r="F78" i="32"/>
  <c r="E78" i="32"/>
  <c r="D78" i="32"/>
  <c r="C78" i="32"/>
  <c r="C77" i="32"/>
  <c r="N75" i="32"/>
  <c r="M75" i="32"/>
  <c r="L75" i="32"/>
  <c r="K75" i="32"/>
  <c r="J75" i="32"/>
  <c r="I75" i="32"/>
  <c r="H75" i="32"/>
  <c r="G75" i="32"/>
  <c r="F75" i="32"/>
  <c r="E75" i="32"/>
  <c r="D75" i="32"/>
  <c r="C75" i="32"/>
  <c r="AA74" i="32"/>
  <c r="AA73" i="32"/>
  <c r="AA72" i="32"/>
  <c r="AA162" i="32" s="1"/>
  <c r="AA253" i="32" s="1"/>
  <c r="W72" i="32"/>
  <c r="E72" i="32"/>
  <c r="N62" i="32"/>
  <c r="M62" i="32"/>
  <c r="L62" i="32"/>
  <c r="K62" i="32"/>
  <c r="J62" i="32"/>
  <c r="I62" i="32"/>
  <c r="H62" i="32"/>
  <c r="G62" i="32"/>
  <c r="F62" i="32"/>
  <c r="E62" i="32"/>
  <c r="D62" i="32"/>
  <c r="AE54" i="32"/>
  <c r="AD54" i="32"/>
  <c r="AC54" i="32"/>
  <c r="AB54" i="32"/>
  <c r="AA54" i="32"/>
  <c r="Z54" i="32"/>
  <c r="Y54" i="32"/>
  <c r="X54" i="32"/>
  <c r="W54" i="32"/>
  <c r="V54" i="32"/>
  <c r="U54" i="32"/>
  <c r="C50" i="32"/>
  <c r="N43" i="32"/>
  <c r="M43" i="32"/>
  <c r="L43" i="32"/>
  <c r="K43" i="32"/>
  <c r="J43" i="32"/>
  <c r="I43" i="32"/>
  <c r="H43" i="32"/>
  <c r="G43" i="32"/>
  <c r="F43" i="32"/>
  <c r="E43" i="32"/>
  <c r="D43" i="32"/>
  <c r="C43" i="32"/>
  <c r="P42" i="32"/>
  <c r="M42" i="32"/>
  <c r="N42" i="32"/>
  <c r="P41" i="32"/>
  <c r="N41" i="32"/>
  <c r="M41" i="32"/>
  <c r="L41" i="32"/>
  <c r="K41" i="32"/>
  <c r="J41" i="32"/>
  <c r="I41" i="32"/>
  <c r="H41" i="32"/>
  <c r="G41" i="32"/>
  <c r="F41" i="32"/>
  <c r="P39" i="32"/>
  <c r="T75" i="32"/>
  <c r="M32" i="32"/>
  <c r="N33" i="32"/>
  <c r="N77" i="32"/>
  <c r="J32" i="32"/>
  <c r="K33" i="32"/>
  <c r="K77" i="32"/>
  <c r="M31" i="32"/>
  <c r="M76" i="32"/>
  <c r="L31" i="32"/>
  <c r="L76" i="32"/>
  <c r="K31" i="32"/>
  <c r="K76" i="32"/>
  <c r="J31" i="32"/>
  <c r="J76" i="32"/>
  <c r="C31" i="32"/>
  <c r="N30" i="32"/>
  <c r="N32" i="32"/>
  <c r="P33" i="32"/>
  <c r="M30" i="32"/>
  <c r="L30" i="32"/>
  <c r="L32" i="32"/>
  <c r="M33" i="32"/>
  <c r="M77" i="32"/>
  <c r="K30" i="32"/>
  <c r="K32" i="32"/>
  <c r="L33" i="32"/>
  <c r="L77" i="32"/>
  <c r="J30" i="32"/>
  <c r="I30" i="32"/>
  <c r="H30" i="32"/>
  <c r="H32" i="32"/>
  <c r="I33" i="32"/>
  <c r="I77" i="32"/>
  <c r="G30" i="32"/>
  <c r="G31" i="32"/>
  <c r="G76" i="32"/>
  <c r="F30" i="32"/>
  <c r="E30" i="32"/>
  <c r="D30" i="32"/>
  <c r="D31" i="32"/>
  <c r="D76" i="32"/>
  <c r="C30" i="32"/>
  <c r="C32" i="32"/>
  <c r="M29" i="32"/>
  <c r="L29" i="32"/>
  <c r="K29" i="32"/>
  <c r="J29" i="32"/>
  <c r="I29" i="32"/>
  <c r="H29" i="32"/>
  <c r="G29" i="32"/>
  <c r="F29" i="32"/>
  <c r="E29" i="32"/>
  <c r="D29" i="32"/>
  <c r="C29" i="32"/>
  <c r="P28" i="32"/>
  <c r="N28" i="32"/>
  <c r="N29" i="32"/>
  <c r="N26" i="32"/>
  <c r="N79" i="32"/>
  <c r="I26" i="32"/>
  <c r="I79" i="32"/>
  <c r="N25" i="32"/>
  <c r="M25" i="32"/>
  <c r="C25" i="32"/>
  <c r="N24" i="32"/>
  <c r="N61" i="32"/>
  <c r="M24" i="32"/>
  <c r="M26" i="32"/>
  <c r="M79" i="32"/>
  <c r="L24" i="32"/>
  <c r="L26" i="32"/>
  <c r="L79" i="32"/>
  <c r="K24" i="32"/>
  <c r="K61" i="32"/>
  <c r="J24" i="32"/>
  <c r="J25" i="32"/>
  <c r="I24" i="32"/>
  <c r="I25" i="32"/>
  <c r="H24" i="32"/>
  <c r="H61" i="32"/>
  <c r="G24" i="32"/>
  <c r="G61" i="32"/>
  <c r="F24" i="32"/>
  <c r="F26" i="32"/>
  <c r="F79" i="32"/>
  <c r="E24" i="32"/>
  <c r="E26" i="32"/>
  <c r="E79" i="32"/>
  <c r="D24" i="32"/>
  <c r="D26" i="32"/>
  <c r="D79" i="32"/>
  <c r="C24" i="32"/>
  <c r="P23" i="32"/>
  <c r="T74" i="32"/>
  <c r="D5" i="24"/>
  <c r="E5" i="24"/>
  <c r="F5" i="24"/>
  <c r="G5" i="24"/>
  <c r="G14" i="24" s="1"/>
  <c r="G15" i="24" s="1"/>
  <c r="H5" i="24"/>
  <c r="H14" i="24" s="1"/>
  <c r="I5" i="24"/>
  <c r="I6" i="24" s="1"/>
  <c r="I61" i="24" s="1"/>
  <c r="J5" i="24"/>
  <c r="J14" i="24" s="1"/>
  <c r="J15" i="24" s="1"/>
  <c r="K5" i="24"/>
  <c r="K6" i="24" s="1"/>
  <c r="K61" i="24" s="1"/>
  <c r="L5" i="24"/>
  <c r="L14" i="24" s="1"/>
  <c r="M5" i="24"/>
  <c r="M6" i="24" s="1"/>
  <c r="M61" i="24" s="1"/>
  <c r="N5" i="24"/>
  <c r="N14" i="24" s="1"/>
  <c r="C5" i="24"/>
  <c r="C6" i="24" s="1"/>
  <c r="D5" i="6"/>
  <c r="E5" i="6"/>
  <c r="F5" i="6"/>
  <c r="F14" i="6" s="1"/>
  <c r="F15" i="6" s="1"/>
  <c r="F59" i="6" s="1"/>
  <c r="G5" i="6"/>
  <c r="G6" i="6" s="1"/>
  <c r="G58" i="6" s="1"/>
  <c r="H5" i="6"/>
  <c r="H14" i="6" s="1"/>
  <c r="H15" i="6" s="1"/>
  <c r="I5" i="6"/>
  <c r="I6" i="6" s="1"/>
  <c r="I58" i="6" s="1"/>
  <c r="J5" i="6"/>
  <c r="J6" i="6" s="1"/>
  <c r="J58" i="6" s="1"/>
  <c r="K5" i="6"/>
  <c r="K6" i="6" s="1"/>
  <c r="L5" i="6"/>
  <c r="L6" i="6" s="1"/>
  <c r="M5" i="6"/>
  <c r="N5" i="6"/>
  <c r="N6" i="6" s="1"/>
  <c r="C5" i="6"/>
  <c r="C6" i="6" s="1"/>
  <c r="C58" i="6" s="1"/>
  <c r="D5" i="26"/>
  <c r="D97" i="26" s="1"/>
  <c r="E5" i="26"/>
  <c r="E97" i="26" s="1"/>
  <c r="F5" i="26"/>
  <c r="F97" i="26" s="1"/>
  <c r="F106" i="26" s="1"/>
  <c r="F107" i="26" s="1"/>
  <c r="G5" i="26"/>
  <c r="G6" i="26" s="1"/>
  <c r="G60" i="26" s="1"/>
  <c r="H5" i="26"/>
  <c r="H97" i="26" s="1"/>
  <c r="H106" i="26" s="1"/>
  <c r="H107" i="26" s="1"/>
  <c r="H153" i="26" s="1"/>
  <c r="H156" i="26" s="1"/>
  <c r="I5" i="26"/>
  <c r="I6" i="26" s="1"/>
  <c r="I60" i="26" s="1"/>
  <c r="J5" i="26"/>
  <c r="J14" i="26" s="1"/>
  <c r="J15" i="26" s="1"/>
  <c r="J61" i="26" s="1"/>
  <c r="J64" i="26" s="1"/>
  <c r="K5" i="26"/>
  <c r="K97" i="26" s="1"/>
  <c r="K98" i="26" s="1"/>
  <c r="K152" i="26" s="1"/>
  <c r="L5" i="26"/>
  <c r="L6" i="26" s="1"/>
  <c r="L60" i="26" s="1"/>
  <c r="M5" i="26"/>
  <c r="N5" i="26"/>
  <c r="N97" i="26" s="1"/>
  <c r="N188" i="26" s="1"/>
  <c r="N197" i="26" s="1"/>
  <c r="N198" i="26" s="1"/>
  <c r="C5" i="26"/>
  <c r="C14" i="26" s="1"/>
  <c r="D30" i="26"/>
  <c r="E30" i="26"/>
  <c r="F30" i="26"/>
  <c r="G30" i="26"/>
  <c r="H30" i="26"/>
  <c r="I30" i="26"/>
  <c r="J30" i="26"/>
  <c r="K30" i="26"/>
  <c r="L30" i="26"/>
  <c r="M30" i="26"/>
  <c r="N30" i="26"/>
  <c r="C30" i="26"/>
  <c r="D123" i="26"/>
  <c r="E123" i="26"/>
  <c r="F123" i="26"/>
  <c r="G123" i="26"/>
  <c r="H123" i="26"/>
  <c r="I123" i="26"/>
  <c r="J123" i="26"/>
  <c r="K123" i="26"/>
  <c r="L123" i="26"/>
  <c r="M123" i="26"/>
  <c r="N123" i="26"/>
  <c r="C123" i="26"/>
  <c r="D215" i="26"/>
  <c r="E215" i="26"/>
  <c r="F215" i="26"/>
  <c r="G215" i="26"/>
  <c r="H215" i="26"/>
  <c r="I215" i="26"/>
  <c r="J215" i="26"/>
  <c r="K215" i="26"/>
  <c r="L215" i="26"/>
  <c r="M215" i="26"/>
  <c r="N215" i="26"/>
  <c r="C215" i="26"/>
  <c r="D124" i="24"/>
  <c r="E124" i="24"/>
  <c r="F124" i="24"/>
  <c r="G124" i="24"/>
  <c r="H124" i="24"/>
  <c r="I124" i="24"/>
  <c r="J124" i="24"/>
  <c r="K124" i="24"/>
  <c r="L124" i="24"/>
  <c r="M124" i="24"/>
  <c r="N124" i="24"/>
  <c r="C124" i="24"/>
  <c r="D216" i="24"/>
  <c r="E216" i="24"/>
  <c r="F216" i="24"/>
  <c r="G216" i="24"/>
  <c r="H216" i="24"/>
  <c r="I216" i="24"/>
  <c r="J216" i="24"/>
  <c r="K216" i="24"/>
  <c r="L216" i="24"/>
  <c r="M216" i="24"/>
  <c r="N216" i="24"/>
  <c r="C216" i="24"/>
  <c r="X72" i="14"/>
  <c r="X73" i="14"/>
  <c r="X163" i="14" s="1"/>
  <c r="X254" i="14" s="1"/>
  <c r="Y254" i="14" s="1"/>
  <c r="D30" i="11"/>
  <c r="R4" i="3"/>
  <c r="P118" i="26"/>
  <c r="L118" i="26"/>
  <c r="L119" i="26"/>
  <c r="P25" i="26"/>
  <c r="X172" i="26"/>
  <c r="Y173" i="26"/>
  <c r="C171" i="26"/>
  <c r="D171" i="26"/>
  <c r="E171" i="26"/>
  <c r="F171" i="26"/>
  <c r="G171" i="26"/>
  <c r="H171" i="26"/>
  <c r="I171" i="26"/>
  <c r="J171" i="26"/>
  <c r="K171" i="26"/>
  <c r="L171" i="26"/>
  <c r="M171" i="26"/>
  <c r="N171" i="26"/>
  <c r="P206" i="26"/>
  <c r="T264" i="26"/>
  <c r="C207" i="26"/>
  <c r="D207" i="26"/>
  <c r="E207" i="26"/>
  <c r="F207" i="26"/>
  <c r="G207" i="26"/>
  <c r="H207" i="26"/>
  <c r="I207" i="26"/>
  <c r="J207" i="26"/>
  <c r="K207" i="26"/>
  <c r="L207" i="26"/>
  <c r="M207" i="26"/>
  <c r="N207" i="26"/>
  <c r="P208" i="26"/>
  <c r="P209" i="26"/>
  <c r="P210" i="26"/>
  <c r="C216" i="26"/>
  <c r="C218" i="26"/>
  <c r="D219" i="26"/>
  <c r="D262" i="26"/>
  <c r="D216" i="26"/>
  <c r="D218" i="26"/>
  <c r="E219" i="26"/>
  <c r="E262" i="26"/>
  <c r="E216" i="26"/>
  <c r="E218" i="26"/>
  <c r="F219" i="26"/>
  <c r="F262" i="26"/>
  <c r="F216" i="26"/>
  <c r="G216" i="26"/>
  <c r="H216" i="26"/>
  <c r="H217" i="26"/>
  <c r="H261" i="26"/>
  <c r="I216" i="26"/>
  <c r="J216" i="26"/>
  <c r="J218" i="26"/>
  <c r="K219" i="26"/>
  <c r="K262" i="26"/>
  <c r="K216" i="26"/>
  <c r="K218" i="26"/>
  <c r="L219" i="26"/>
  <c r="L262" i="26"/>
  <c r="L216" i="26"/>
  <c r="L218" i="26"/>
  <c r="M219" i="26"/>
  <c r="M262" i="26"/>
  <c r="M216" i="26"/>
  <c r="M217" i="26"/>
  <c r="M261" i="26"/>
  <c r="N216" i="26"/>
  <c r="N217" i="26"/>
  <c r="N261" i="26"/>
  <c r="E217" i="26"/>
  <c r="E261" i="26"/>
  <c r="H218" i="26"/>
  <c r="I219" i="26"/>
  <c r="I262" i="26"/>
  <c r="M218" i="26"/>
  <c r="N219" i="26"/>
  <c r="N262" i="26"/>
  <c r="P225" i="26"/>
  <c r="T265" i="26"/>
  <c r="P228" i="26"/>
  <c r="P235" i="26"/>
  <c r="C236" i="26"/>
  <c r="C237" i="26"/>
  <c r="D236" i="26"/>
  <c r="E236" i="26"/>
  <c r="E247" i="26"/>
  <c r="F236" i="26"/>
  <c r="F247" i="26"/>
  <c r="G236" i="26"/>
  <c r="G247" i="26"/>
  <c r="H236" i="26"/>
  <c r="H237" i="26"/>
  <c r="I236" i="26"/>
  <c r="I247" i="26"/>
  <c r="J236" i="26"/>
  <c r="J247" i="26"/>
  <c r="K236" i="26"/>
  <c r="K247" i="26"/>
  <c r="L236" i="26"/>
  <c r="M236" i="26"/>
  <c r="M237" i="26"/>
  <c r="M238" i="26"/>
  <c r="N236" i="26"/>
  <c r="N247" i="26"/>
  <c r="G237" i="26"/>
  <c r="G238" i="26"/>
  <c r="U251" i="26"/>
  <c r="V251" i="26"/>
  <c r="W251" i="26"/>
  <c r="X251" i="26"/>
  <c r="Y251" i="26"/>
  <c r="Z251" i="26"/>
  <c r="AA251" i="26"/>
  <c r="AB251" i="26"/>
  <c r="AC251" i="26"/>
  <c r="AD251" i="26"/>
  <c r="AE251" i="26"/>
  <c r="X267" i="26"/>
  <c r="Y268" i="26"/>
  <c r="AA268" i="26"/>
  <c r="C263" i="26"/>
  <c r="D263" i="26"/>
  <c r="E263" i="26"/>
  <c r="F263" i="26"/>
  <c r="G263" i="26"/>
  <c r="H263" i="26"/>
  <c r="I263" i="26"/>
  <c r="J263" i="26"/>
  <c r="K263" i="26"/>
  <c r="L263" i="26"/>
  <c r="M263" i="26"/>
  <c r="N263" i="26"/>
  <c r="P143" i="26"/>
  <c r="C144" i="26"/>
  <c r="C155" i="26"/>
  <c r="D144" i="26"/>
  <c r="D145" i="26"/>
  <c r="E144" i="26"/>
  <c r="E145" i="26"/>
  <c r="E174" i="26"/>
  <c r="F144" i="26"/>
  <c r="F145" i="26"/>
  <c r="G144" i="26"/>
  <c r="G155" i="26"/>
  <c r="H144" i="26"/>
  <c r="H155" i="26"/>
  <c r="I144" i="26"/>
  <c r="I155" i="26"/>
  <c r="J144" i="26"/>
  <c r="K144" i="26"/>
  <c r="L144" i="26"/>
  <c r="M144" i="26"/>
  <c r="N144" i="26"/>
  <c r="N145" i="26"/>
  <c r="Z156" i="26"/>
  <c r="AB156" i="26"/>
  <c r="AC156" i="26"/>
  <c r="AD156" i="26"/>
  <c r="AE156" i="26"/>
  <c r="F155" i="26"/>
  <c r="P133" i="26"/>
  <c r="T170" i="26"/>
  <c r="P136" i="26"/>
  <c r="P115" i="26"/>
  <c r="C116" i="26"/>
  <c r="D116" i="26"/>
  <c r="E116" i="26"/>
  <c r="F116" i="26"/>
  <c r="G116" i="26"/>
  <c r="H116" i="26"/>
  <c r="I116" i="26"/>
  <c r="J116" i="26"/>
  <c r="K116" i="26"/>
  <c r="L116" i="26"/>
  <c r="M116" i="26"/>
  <c r="N116" i="26"/>
  <c r="P117" i="26"/>
  <c r="C124" i="26"/>
  <c r="C126" i="26"/>
  <c r="D124" i="26"/>
  <c r="D126" i="26"/>
  <c r="E127" i="26"/>
  <c r="E170" i="26"/>
  <c r="E124" i="26"/>
  <c r="E125" i="26"/>
  <c r="E169" i="26"/>
  <c r="F124" i="26"/>
  <c r="F126" i="26"/>
  <c r="G127" i="26"/>
  <c r="G170" i="26"/>
  <c r="G124" i="26"/>
  <c r="G126" i="26"/>
  <c r="H127" i="26"/>
  <c r="H170" i="26"/>
  <c r="H124" i="26"/>
  <c r="H126" i="26"/>
  <c r="I127" i="26"/>
  <c r="I170" i="26"/>
  <c r="I124" i="26"/>
  <c r="I126" i="26"/>
  <c r="J127" i="26"/>
  <c r="J170" i="26"/>
  <c r="J124" i="26"/>
  <c r="K124" i="26"/>
  <c r="L124" i="26"/>
  <c r="L125" i="26"/>
  <c r="L169" i="26"/>
  <c r="M124" i="26"/>
  <c r="N124" i="26"/>
  <c r="N126" i="26"/>
  <c r="P127" i="26"/>
  <c r="C219" i="26"/>
  <c r="C262" i="26"/>
  <c r="F125" i="26"/>
  <c r="F169" i="26"/>
  <c r="G125" i="26"/>
  <c r="G169" i="26"/>
  <c r="E73" i="26"/>
  <c r="W74" i="26"/>
  <c r="W167" i="26"/>
  <c r="W262" i="26" s="1"/>
  <c r="AA74" i="26"/>
  <c r="AA167" i="26"/>
  <c r="AA262" i="26" s="1"/>
  <c r="AA75" i="26"/>
  <c r="AA76" i="26"/>
  <c r="C76" i="26"/>
  <c r="D76" i="26"/>
  <c r="E76" i="26"/>
  <c r="F76" i="26"/>
  <c r="G76" i="26"/>
  <c r="H76" i="26"/>
  <c r="I76" i="26"/>
  <c r="J76" i="26"/>
  <c r="K76" i="26"/>
  <c r="L76" i="26"/>
  <c r="M76" i="26"/>
  <c r="N76" i="26"/>
  <c r="C78" i="26"/>
  <c r="C79" i="26"/>
  <c r="D79" i="26"/>
  <c r="E79" i="26"/>
  <c r="F79" i="26"/>
  <c r="G79" i="26"/>
  <c r="H79" i="26"/>
  <c r="I79" i="26"/>
  <c r="J79" i="26"/>
  <c r="K79" i="26"/>
  <c r="L79" i="26"/>
  <c r="M79" i="26"/>
  <c r="N79" i="26"/>
  <c r="W80" i="26"/>
  <c r="Y80" i="26" s="1"/>
  <c r="AA81" i="26"/>
  <c r="D82" i="26"/>
  <c r="E82" i="26"/>
  <c r="F82" i="26"/>
  <c r="G82" i="26"/>
  <c r="H82" i="26"/>
  <c r="I82" i="26"/>
  <c r="J82" i="26"/>
  <c r="K82" i="26"/>
  <c r="L82" i="26"/>
  <c r="M82" i="26"/>
  <c r="N82" i="26"/>
  <c r="AA83" i="26"/>
  <c r="AA176" i="26"/>
  <c r="AA271" i="26"/>
  <c r="C83" i="26"/>
  <c r="C85" i="26"/>
  <c r="T58" i="26" s="1"/>
  <c r="P51" i="26"/>
  <c r="W75" i="26"/>
  <c r="Y75" i="26" s="1"/>
  <c r="C52" i="26"/>
  <c r="C63" i="26"/>
  <c r="U56" i="26"/>
  <c r="V56" i="26"/>
  <c r="W56" i="26"/>
  <c r="X56" i="26"/>
  <c r="Y56" i="26"/>
  <c r="Z56" i="26"/>
  <c r="AA56" i="26"/>
  <c r="AB56" i="26"/>
  <c r="AC56" i="26"/>
  <c r="AD56" i="26"/>
  <c r="AE56" i="26"/>
  <c r="D63" i="26"/>
  <c r="E63" i="26"/>
  <c r="F63" i="26"/>
  <c r="G63" i="26"/>
  <c r="H63" i="26"/>
  <c r="I63" i="26"/>
  <c r="J63" i="26"/>
  <c r="K63" i="26"/>
  <c r="L63" i="26"/>
  <c r="M63" i="26"/>
  <c r="N63" i="26"/>
  <c r="P40" i="26"/>
  <c r="T77" i="26"/>
  <c r="C43" i="26"/>
  <c r="D43" i="26"/>
  <c r="E43" i="26"/>
  <c r="F43" i="26"/>
  <c r="G43" i="26"/>
  <c r="H43" i="26"/>
  <c r="I43" i="26"/>
  <c r="J43" i="26"/>
  <c r="K43" i="26"/>
  <c r="L43" i="26"/>
  <c r="M43" i="26"/>
  <c r="N43" i="26"/>
  <c r="P43" i="26"/>
  <c r="C44" i="26"/>
  <c r="D44" i="26"/>
  <c r="E44" i="26"/>
  <c r="F44" i="26"/>
  <c r="G44" i="26"/>
  <c r="H44" i="26"/>
  <c r="I44" i="26"/>
  <c r="J44" i="26"/>
  <c r="K44" i="26"/>
  <c r="L44" i="26"/>
  <c r="M44" i="26"/>
  <c r="N44" i="26"/>
  <c r="P23" i="26"/>
  <c r="C24" i="26"/>
  <c r="D24" i="26"/>
  <c r="E24" i="26"/>
  <c r="F24" i="26"/>
  <c r="G24" i="26"/>
  <c r="H24" i="26"/>
  <c r="I24" i="26"/>
  <c r="J24" i="26"/>
  <c r="K24" i="26"/>
  <c r="L24" i="26"/>
  <c r="M24" i="26"/>
  <c r="N24" i="26"/>
  <c r="C31" i="26"/>
  <c r="C32" i="26"/>
  <c r="C77" i="26"/>
  <c r="D31" i="26"/>
  <c r="D32" i="26"/>
  <c r="D77" i="26"/>
  <c r="E31" i="26"/>
  <c r="E32" i="26"/>
  <c r="E77" i="26"/>
  <c r="F31" i="26"/>
  <c r="F32" i="26"/>
  <c r="F77" i="26"/>
  <c r="G31" i="26"/>
  <c r="G33" i="26"/>
  <c r="H34" i="26"/>
  <c r="H78" i="26"/>
  <c r="H31" i="26"/>
  <c r="H33" i="26"/>
  <c r="I34" i="26"/>
  <c r="I78" i="26"/>
  <c r="I31" i="26"/>
  <c r="I33" i="26"/>
  <c r="J34" i="26"/>
  <c r="J78" i="26"/>
  <c r="J31" i="26"/>
  <c r="K31" i="26"/>
  <c r="L31" i="26"/>
  <c r="L32" i="26"/>
  <c r="L77" i="26"/>
  <c r="M31" i="26"/>
  <c r="N31" i="26"/>
  <c r="N33" i="26"/>
  <c r="P34" i="26"/>
  <c r="S4" i="3"/>
  <c r="C8" i="22"/>
  <c r="I209" i="24"/>
  <c r="J209" i="24"/>
  <c r="P211" i="24"/>
  <c r="K211" i="24"/>
  <c r="P210" i="24"/>
  <c r="N210" i="24"/>
  <c r="P209" i="24"/>
  <c r="K209" i="24"/>
  <c r="P119" i="24"/>
  <c r="K119" i="24"/>
  <c r="P118" i="24"/>
  <c r="E118" i="24"/>
  <c r="P25" i="24"/>
  <c r="C25" i="24"/>
  <c r="C26" i="24"/>
  <c r="N264" i="24"/>
  <c r="M264" i="24"/>
  <c r="L264" i="24"/>
  <c r="K264" i="24"/>
  <c r="J264" i="24"/>
  <c r="I264" i="24"/>
  <c r="H264" i="24"/>
  <c r="G264" i="24"/>
  <c r="F264" i="24"/>
  <c r="E264" i="24"/>
  <c r="D264" i="24"/>
  <c r="C264" i="24"/>
  <c r="AA268" i="24"/>
  <c r="Y268" i="24"/>
  <c r="X267" i="24"/>
  <c r="AE251" i="24"/>
  <c r="AD251" i="24"/>
  <c r="AC251" i="24"/>
  <c r="AB251" i="24"/>
  <c r="AA251" i="24"/>
  <c r="Z251" i="24"/>
  <c r="Y251" i="24"/>
  <c r="X251" i="24"/>
  <c r="W251" i="24"/>
  <c r="V251" i="24"/>
  <c r="U251" i="24"/>
  <c r="T251" i="24"/>
  <c r="N237" i="24"/>
  <c r="N248" i="24"/>
  <c r="M237" i="24"/>
  <c r="L237" i="24"/>
  <c r="K237" i="24"/>
  <c r="K248" i="24"/>
  <c r="J237" i="24"/>
  <c r="J248" i="24"/>
  <c r="I237" i="24"/>
  <c r="H237" i="24"/>
  <c r="G237" i="24"/>
  <c r="F237" i="24"/>
  <c r="E237" i="24"/>
  <c r="E238" i="24"/>
  <c r="D237" i="24"/>
  <c r="D238" i="24"/>
  <c r="C237" i="24"/>
  <c r="C238" i="24"/>
  <c r="C239" i="24"/>
  <c r="P236" i="24"/>
  <c r="N229" i="24"/>
  <c r="N230" i="24"/>
  <c r="N266" i="24"/>
  <c r="M229" i="24"/>
  <c r="M230" i="24"/>
  <c r="M266" i="24"/>
  <c r="L229" i="24"/>
  <c r="L230" i="24"/>
  <c r="L266" i="24"/>
  <c r="K229" i="24"/>
  <c r="K230" i="24"/>
  <c r="K266" i="24"/>
  <c r="J229" i="24"/>
  <c r="J230" i="24"/>
  <c r="J266" i="24"/>
  <c r="I229" i="24"/>
  <c r="I230" i="24"/>
  <c r="I266" i="24"/>
  <c r="H229" i="24"/>
  <c r="H230" i="24"/>
  <c r="H266" i="24"/>
  <c r="G229" i="24"/>
  <c r="G230" i="24"/>
  <c r="G266" i="24"/>
  <c r="F229" i="24"/>
  <c r="F230" i="24"/>
  <c r="F266" i="24"/>
  <c r="E229" i="24"/>
  <c r="E230" i="24"/>
  <c r="E266" i="24"/>
  <c r="D229" i="24"/>
  <c r="D230" i="24"/>
  <c r="D266" i="24"/>
  <c r="C229" i="24"/>
  <c r="C230" i="24"/>
  <c r="C266" i="24"/>
  <c r="P226" i="24"/>
  <c r="T265" i="24"/>
  <c r="N217" i="24"/>
  <c r="N219" i="24"/>
  <c r="P220" i="24"/>
  <c r="M217" i="24"/>
  <c r="M219" i="24"/>
  <c r="N220" i="24"/>
  <c r="N263" i="24"/>
  <c r="L217" i="24"/>
  <c r="L219" i="24"/>
  <c r="M220" i="24"/>
  <c r="M263" i="24"/>
  <c r="K217" i="24"/>
  <c r="K219" i="24"/>
  <c r="L220" i="24"/>
  <c r="L263" i="24"/>
  <c r="J217" i="24"/>
  <c r="J219" i="24"/>
  <c r="K220" i="24"/>
  <c r="K263" i="24"/>
  <c r="I217" i="24"/>
  <c r="I219" i="24"/>
  <c r="J220" i="24"/>
  <c r="J263" i="24"/>
  <c r="H217" i="24"/>
  <c r="G217" i="24"/>
  <c r="F217" i="24"/>
  <c r="F219" i="24"/>
  <c r="G220" i="24"/>
  <c r="G263" i="24"/>
  <c r="E217" i="24"/>
  <c r="E219" i="24"/>
  <c r="F220" i="24"/>
  <c r="F263" i="24"/>
  <c r="D217" i="24"/>
  <c r="C217" i="24"/>
  <c r="N208" i="24"/>
  <c r="M208" i="24"/>
  <c r="L208" i="24"/>
  <c r="K208" i="24"/>
  <c r="J208" i="24"/>
  <c r="I208" i="24"/>
  <c r="H208" i="24"/>
  <c r="G208" i="24"/>
  <c r="F208" i="24"/>
  <c r="E208" i="24"/>
  <c r="D208" i="24"/>
  <c r="C208" i="24"/>
  <c r="P207" i="24"/>
  <c r="N172" i="24"/>
  <c r="M172" i="24"/>
  <c r="L172" i="24"/>
  <c r="K172" i="24"/>
  <c r="J172" i="24"/>
  <c r="I172" i="24"/>
  <c r="H172" i="24"/>
  <c r="G172" i="24"/>
  <c r="F172" i="24"/>
  <c r="E172" i="24"/>
  <c r="D172" i="24"/>
  <c r="C172" i="24"/>
  <c r="Y173" i="24"/>
  <c r="X172" i="24"/>
  <c r="AE156" i="24"/>
  <c r="AD156" i="24"/>
  <c r="AC156" i="24"/>
  <c r="AB156" i="24"/>
  <c r="AA156" i="24"/>
  <c r="Z156" i="24"/>
  <c r="Y156" i="24"/>
  <c r="X156" i="24"/>
  <c r="W156" i="24"/>
  <c r="V156" i="24"/>
  <c r="U156" i="24"/>
  <c r="N145" i="24"/>
  <c r="N146" i="24"/>
  <c r="N147" i="24"/>
  <c r="M145" i="24"/>
  <c r="L145" i="24"/>
  <c r="L156" i="24"/>
  <c r="K145" i="24"/>
  <c r="K146" i="24"/>
  <c r="K147" i="24"/>
  <c r="J145" i="24"/>
  <c r="J156" i="24"/>
  <c r="I145" i="24"/>
  <c r="I156" i="24"/>
  <c r="G145" i="24"/>
  <c r="G156" i="24"/>
  <c r="F145" i="24"/>
  <c r="F156" i="24"/>
  <c r="E145" i="24"/>
  <c r="E156" i="24"/>
  <c r="D145" i="24"/>
  <c r="D156" i="24"/>
  <c r="C145" i="24"/>
  <c r="P134" i="24"/>
  <c r="T170" i="24"/>
  <c r="N125" i="24"/>
  <c r="N126" i="24"/>
  <c r="N170" i="24"/>
  <c r="M125" i="24"/>
  <c r="L125" i="24"/>
  <c r="K125" i="24"/>
  <c r="K127" i="24"/>
  <c r="L128" i="24"/>
  <c r="L171" i="24"/>
  <c r="J125" i="24"/>
  <c r="J127" i="24"/>
  <c r="K128" i="24"/>
  <c r="K171" i="24"/>
  <c r="I125" i="24"/>
  <c r="I126" i="24"/>
  <c r="I170" i="24"/>
  <c r="H125" i="24"/>
  <c r="H126" i="24"/>
  <c r="H170" i="24"/>
  <c r="G125" i="24"/>
  <c r="G126" i="24"/>
  <c r="G170" i="24"/>
  <c r="F125" i="24"/>
  <c r="F127" i="24"/>
  <c r="G128" i="24"/>
  <c r="G171" i="24"/>
  <c r="E125" i="24"/>
  <c r="E127" i="24"/>
  <c r="F128" i="24"/>
  <c r="F171" i="24"/>
  <c r="D125" i="24"/>
  <c r="D127" i="24"/>
  <c r="E128" i="24"/>
  <c r="E171" i="24"/>
  <c r="C125" i="24"/>
  <c r="N117" i="24"/>
  <c r="M117" i="24"/>
  <c r="L117" i="24"/>
  <c r="K117" i="24"/>
  <c r="J117" i="24"/>
  <c r="I117" i="24"/>
  <c r="H117" i="24"/>
  <c r="G117" i="24"/>
  <c r="F117" i="24"/>
  <c r="E117" i="24"/>
  <c r="D117" i="24"/>
  <c r="C117" i="24"/>
  <c r="P116" i="24"/>
  <c r="C86" i="24"/>
  <c r="T58" i="24" s="1"/>
  <c r="C84" i="24"/>
  <c r="AA176" i="24"/>
  <c r="AA271" i="24"/>
  <c r="N83" i="24"/>
  <c r="M83" i="24"/>
  <c r="L83" i="24"/>
  <c r="K83" i="24"/>
  <c r="J83" i="24"/>
  <c r="I83" i="24"/>
  <c r="H83" i="24"/>
  <c r="G83" i="24"/>
  <c r="F83" i="24"/>
  <c r="E83" i="24"/>
  <c r="D83" i="24"/>
  <c r="AA81" i="24"/>
  <c r="W80" i="24"/>
  <c r="Y80" i="24"/>
  <c r="N80" i="24"/>
  <c r="M80" i="24"/>
  <c r="L80" i="24"/>
  <c r="K80" i="24"/>
  <c r="J80" i="24"/>
  <c r="I80" i="24"/>
  <c r="H80" i="24"/>
  <c r="G80" i="24"/>
  <c r="F80" i="24"/>
  <c r="E80" i="24"/>
  <c r="D80" i="24"/>
  <c r="C80" i="24"/>
  <c r="C79" i="24"/>
  <c r="N77" i="24"/>
  <c r="M77" i="24"/>
  <c r="L77" i="24"/>
  <c r="K77" i="24"/>
  <c r="J77" i="24"/>
  <c r="I77" i="24"/>
  <c r="H77" i="24"/>
  <c r="G77" i="24"/>
  <c r="F77" i="24"/>
  <c r="E77" i="24"/>
  <c r="D77" i="24"/>
  <c r="C77" i="24"/>
  <c r="AA76" i="24"/>
  <c r="AA75" i="24"/>
  <c r="AA74" i="24"/>
  <c r="AA167" i="24"/>
  <c r="AA262" i="24" s="1"/>
  <c r="W74" i="24"/>
  <c r="W167" i="24"/>
  <c r="E74" i="24"/>
  <c r="N64" i="24"/>
  <c r="M64" i="24"/>
  <c r="L64" i="24"/>
  <c r="K64" i="24"/>
  <c r="J64" i="24"/>
  <c r="I64" i="24"/>
  <c r="H64" i="24"/>
  <c r="G64" i="24"/>
  <c r="F64" i="24"/>
  <c r="E64" i="24"/>
  <c r="D64" i="24"/>
  <c r="AE56" i="24"/>
  <c r="AD56" i="24"/>
  <c r="AC56" i="24"/>
  <c r="AB56" i="24"/>
  <c r="AA56" i="24"/>
  <c r="Z56" i="24"/>
  <c r="Y56" i="24"/>
  <c r="X56" i="24"/>
  <c r="W56" i="24"/>
  <c r="V56" i="24"/>
  <c r="U56" i="24"/>
  <c r="N45" i="24"/>
  <c r="M45" i="24"/>
  <c r="L45" i="24"/>
  <c r="K45" i="24"/>
  <c r="J45" i="24"/>
  <c r="I45" i="24"/>
  <c r="H45" i="24"/>
  <c r="G45" i="24"/>
  <c r="F45" i="24"/>
  <c r="E45" i="24"/>
  <c r="D45" i="24"/>
  <c r="C45" i="24"/>
  <c r="P41" i="24"/>
  <c r="T77" i="24"/>
  <c r="N32" i="24"/>
  <c r="N33" i="24"/>
  <c r="N78" i="24"/>
  <c r="M32" i="24"/>
  <c r="L32" i="24"/>
  <c r="L34" i="24"/>
  <c r="M35" i="24"/>
  <c r="M79" i="24"/>
  <c r="K32" i="24"/>
  <c r="K34" i="24"/>
  <c r="L35" i="24"/>
  <c r="L79" i="24"/>
  <c r="J32" i="24"/>
  <c r="J34" i="24"/>
  <c r="K35" i="24"/>
  <c r="K79" i="24"/>
  <c r="I32" i="24"/>
  <c r="I33" i="24"/>
  <c r="I78" i="24"/>
  <c r="H32" i="24"/>
  <c r="H33" i="24"/>
  <c r="H78" i="24"/>
  <c r="G32" i="24"/>
  <c r="G33" i="24"/>
  <c r="G78" i="24"/>
  <c r="F32" i="24"/>
  <c r="E32" i="24"/>
  <c r="E33" i="24"/>
  <c r="E78" i="24"/>
  <c r="D32" i="24"/>
  <c r="D33" i="24"/>
  <c r="D78" i="24"/>
  <c r="C32" i="24"/>
  <c r="C33" i="24"/>
  <c r="M31" i="24"/>
  <c r="L31" i="24"/>
  <c r="K31" i="24"/>
  <c r="J31" i="24"/>
  <c r="I31" i="24"/>
  <c r="H31" i="24"/>
  <c r="G31" i="24"/>
  <c r="F31" i="24"/>
  <c r="E31" i="24"/>
  <c r="D31" i="24"/>
  <c r="C31" i="24"/>
  <c r="N31" i="24"/>
  <c r="N24" i="24"/>
  <c r="M24" i="24"/>
  <c r="L24" i="24"/>
  <c r="K24" i="24"/>
  <c r="J24" i="24"/>
  <c r="I24" i="24"/>
  <c r="H24" i="24"/>
  <c r="G24" i="24"/>
  <c r="F24" i="24"/>
  <c r="E24" i="24"/>
  <c r="D24" i="24"/>
  <c r="C24" i="24"/>
  <c r="P23" i="24"/>
  <c r="N246" i="22"/>
  <c r="T20" i="3"/>
  <c r="S19" i="3"/>
  <c r="S20" i="3"/>
  <c r="T32" i="3"/>
  <c r="S32" i="3"/>
  <c r="S31" i="3"/>
  <c r="S30" i="3"/>
  <c r="S29" i="3"/>
  <c r="S28" i="3"/>
  <c r="Q28" i="3"/>
  <c r="R28" i="3"/>
  <c r="P29" i="3"/>
  <c r="R29" i="3"/>
  <c r="P30" i="3"/>
  <c r="R30" i="3"/>
  <c r="P31" i="3"/>
  <c r="R31" i="3"/>
  <c r="P32" i="3"/>
  <c r="R32" i="3"/>
  <c r="P33" i="3"/>
  <c r="R33" i="3"/>
  <c r="P34" i="3"/>
  <c r="R34" i="3"/>
  <c r="S18" i="3"/>
  <c r="S17" i="3"/>
  <c r="S16" i="3"/>
  <c r="S15" i="3"/>
  <c r="S14" i="3"/>
  <c r="Q24" i="3"/>
  <c r="Q23" i="3"/>
  <c r="Q22" i="3"/>
  <c r="Q21" i="3"/>
  <c r="Q20" i="3"/>
  <c r="Q19" i="3"/>
  <c r="Q18" i="3"/>
  <c r="Q17" i="3"/>
  <c r="Q16" i="3"/>
  <c r="Q15" i="3"/>
  <c r="Q14" i="3"/>
  <c r="R14" i="3"/>
  <c r="P15" i="3"/>
  <c r="R15" i="3"/>
  <c r="P16" i="3"/>
  <c r="R16" i="3"/>
  <c r="P17" i="3"/>
  <c r="R17" i="3"/>
  <c r="P18" i="3"/>
  <c r="R18" i="3"/>
  <c r="P19" i="3"/>
  <c r="R19" i="3"/>
  <c r="P20" i="3"/>
  <c r="R20" i="3"/>
  <c r="P21" i="3"/>
  <c r="R21" i="3"/>
  <c r="P22" i="3"/>
  <c r="R22" i="3"/>
  <c r="P23" i="3"/>
  <c r="R23" i="3"/>
  <c r="P24" i="3"/>
  <c r="R24" i="3"/>
  <c r="S5" i="3"/>
  <c r="S6" i="3"/>
  <c r="S7" i="3"/>
  <c r="S8" i="3"/>
  <c r="Q10" i="3"/>
  <c r="Q9" i="3"/>
  <c r="Q8" i="3"/>
  <c r="Q7" i="3"/>
  <c r="Q6" i="3"/>
  <c r="Q5" i="3"/>
  <c r="Q4" i="3"/>
  <c r="P5" i="3"/>
  <c r="AA268" i="22"/>
  <c r="Y268" i="22"/>
  <c r="X267" i="22"/>
  <c r="N247" i="22"/>
  <c r="E238" i="22"/>
  <c r="Y173" i="22"/>
  <c r="X172" i="22"/>
  <c r="F146" i="22"/>
  <c r="AA81" i="22"/>
  <c r="W80" i="22"/>
  <c r="Y80" i="22" s="1"/>
  <c r="AA75" i="22"/>
  <c r="E72" i="14"/>
  <c r="N27" i="13"/>
  <c r="C51" i="13"/>
  <c r="C33" i="13"/>
  <c r="L32" i="13"/>
  <c r="N32" i="13"/>
  <c r="C6" i="13"/>
  <c r="G5" i="13"/>
  <c r="F5" i="13"/>
  <c r="D24" i="13"/>
  <c r="E24" i="13"/>
  <c r="AC148" i="14"/>
  <c r="Y148" i="14"/>
  <c r="T51" i="14"/>
  <c r="K16" i="16"/>
  <c r="D42" i="14"/>
  <c r="E42" i="14"/>
  <c r="H141" i="14"/>
  <c r="C8" i="14"/>
  <c r="N29" i="9"/>
  <c r="P29" i="9"/>
  <c r="H50" i="7"/>
  <c r="D43" i="14"/>
  <c r="E43" i="14"/>
  <c r="F43" i="14"/>
  <c r="G43" i="14"/>
  <c r="H43" i="14"/>
  <c r="I43" i="14"/>
  <c r="J43" i="14"/>
  <c r="K43" i="14"/>
  <c r="L43" i="14"/>
  <c r="M43" i="14"/>
  <c r="N43" i="14"/>
  <c r="C43" i="14"/>
  <c r="AA72" i="14"/>
  <c r="AA162" i="14"/>
  <c r="AA253" i="14" s="1"/>
  <c r="D62" i="14"/>
  <c r="E13" i="11"/>
  <c r="P116" i="6"/>
  <c r="H137" i="6"/>
  <c r="C226" i="6"/>
  <c r="P226" i="6"/>
  <c r="K16" i="3"/>
  <c r="K17" i="3"/>
  <c r="K18" i="3"/>
  <c r="K19" i="3"/>
  <c r="K20" i="3"/>
  <c r="K21" i="3"/>
  <c r="K22" i="3"/>
  <c r="K23" i="3"/>
  <c r="K15" i="3"/>
  <c r="N210" i="14"/>
  <c r="P210" i="14"/>
  <c r="K24" i="3"/>
  <c r="K14" i="3"/>
  <c r="L14" i="3"/>
  <c r="J15" i="3"/>
  <c r="L15" i="3"/>
  <c r="J16" i="3"/>
  <c r="V210" i="6"/>
  <c r="U209" i="6"/>
  <c r="N254" i="6"/>
  <c r="M254" i="6"/>
  <c r="L254" i="6"/>
  <c r="K254" i="6"/>
  <c r="J254" i="6"/>
  <c r="I254" i="6"/>
  <c r="H254" i="6"/>
  <c r="G254" i="6"/>
  <c r="F254" i="6"/>
  <c r="E254" i="6"/>
  <c r="D254" i="6"/>
  <c r="C254" i="6"/>
  <c r="N227" i="6"/>
  <c r="N228" i="6"/>
  <c r="M227" i="6"/>
  <c r="M238" i="6"/>
  <c r="L227" i="6"/>
  <c r="L238" i="6"/>
  <c r="K227" i="6"/>
  <c r="K238" i="6"/>
  <c r="J227" i="6"/>
  <c r="J238" i="6"/>
  <c r="I227" i="6"/>
  <c r="I238" i="6"/>
  <c r="H227" i="6"/>
  <c r="G227" i="6"/>
  <c r="F227" i="6"/>
  <c r="F238" i="6" s="1"/>
  <c r="F228" i="6"/>
  <c r="F229" i="6" s="1"/>
  <c r="F257" i="6"/>
  <c r="E227" i="6"/>
  <c r="E238" i="6" s="1"/>
  <c r="E228" i="6"/>
  <c r="D227" i="6"/>
  <c r="P216" i="6"/>
  <c r="T184" i="6" s="1"/>
  <c r="N207" i="6"/>
  <c r="M207" i="6"/>
  <c r="L207" i="6"/>
  <c r="K207" i="6"/>
  <c r="J207" i="6"/>
  <c r="J208" i="6" s="1"/>
  <c r="J252" i="6" s="1"/>
  <c r="J209" i="6"/>
  <c r="K210" i="6"/>
  <c r="K253" i="6"/>
  <c r="I207" i="6"/>
  <c r="I208" i="6" s="1"/>
  <c r="I252" i="6" s="1"/>
  <c r="I209" i="6"/>
  <c r="J210" i="6"/>
  <c r="J253" i="6"/>
  <c r="H207" i="6"/>
  <c r="H208" i="6" s="1"/>
  <c r="H252" i="6" s="1"/>
  <c r="H209" i="6"/>
  <c r="I210" i="6"/>
  <c r="I253" i="6"/>
  <c r="G207" i="6"/>
  <c r="G208" i="6" s="1"/>
  <c r="G252" i="6" s="1"/>
  <c r="G209" i="6"/>
  <c r="H210" i="6"/>
  <c r="H253" i="6"/>
  <c r="F207" i="6"/>
  <c r="F209" i="6"/>
  <c r="G210" i="6"/>
  <c r="G253" i="6"/>
  <c r="E207" i="6"/>
  <c r="E209" i="6"/>
  <c r="F210" i="6"/>
  <c r="F253" i="6"/>
  <c r="D207" i="6"/>
  <c r="C207" i="6"/>
  <c r="M206" i="6"/>
  <c r="L206" i="6"/>
  <c r="K206" i="6"/>
  <c r="J206" i="6"/>
  <c r="I206" i="6"/>
  <c r="H206" i="6"/>
  <c r="G206" i="6"/>
  <c r="F206" i="6"/>
  <c r="E206" i="6"/>
  <c r="D206" i="6"/>
  <c r="C206" i="6"/>
  <c r="N199" i="6"/>
  <c r="N201" i="6"/>
  <c r="N255" i="6"/>
  <c r="M199" i="6"/>
  <c r="M201" i="6"/>
  <c r="M255" i="6" s="1"/>
  <c r="L199" i="6"/>
  <c r="L200" i="6" s="1"/>
  <c r="L201" i="6"/>
  <c r="L255" i="6" s="1"/>
  <c r="K199" i="6"/>
  <c r="K237" i="6"/>
  <c r="J199" i="6"/>
  <c r="J237" i="6"/>
  <c r="I199" i="6"/>
  <c r="I200" i="6"/>
  <c r="H199" i="6"/>
  <c r="G199" i="6"/>
  <c r="G237" i="6"/>
  <c r="F199" i="6"/>
  <c r="E199" i="6"/>
  <c r="D199" i="6"/>
  <c r="C199" i="6"/>
  <c r="P198" i="6"/>
  <c r="T183" i="6" s="1"/>
  <c r="K13" i="16"/>
  <c r="K7" i="16"/>
  <c r="G6" i="16"/>
  <c r="G8" i="16"/>
  <c r="K9" i="16"/>
  <c r="H12" i="16"/>
  <c r="I13" i="16"/>
  <c r="K14" i="16"/>
  <c r="I24" i="16"/>
  <c r="J25" i="16"/>
  <c r="H7" i="16"/>
  <c r="M33" i="36"/>
  <c r="N39" i="36"/>
  <c r="N36" i="36"/>
  <c r="N34" i="36"/>
  <c r="N37" i="36"/>
  <c r="N38" i="36"/>
  <c r="N40" i="36"/>
  <c r="N41" i="36"/>
  <c r="C27" i="36"/>
  <c r="N35" i="36"/>
  <c r="N33" i="36"/>
  <c r="P33" i="36"/>
  <c r="L34" i="36"/>
  <c r="M34" i="36"/>
  <c r="I235" i="32"/>
  <c r="I263" i="32"/>
  <c r="J235" i="32"/>
  <c r="J263" i="32"/>
  <c r="H143" i="32"/>
  <c r="H153" i="32"/>
  <c r="H235" i="32"/>
  <c r="H263" i="32"/>
  <c r="H244" i="32"/>
  <c r="P141" i="32"/>
  <c r="K116" i="32"/>
  <c r="C133" i="32"/>
  <c r="E153" i="32"/>
  <c r="M116" i="32"/>
  <c r="H123" i="32"/>
  <c r="H167" i="32"/>
  <c r="D133" i="32"/>
  <c r="I172" i="32"/>
  <c r="N116" i="32"/>
  <c r="K123" i="32"/>
  <c r="K167" i="32"/>
  <c r="E133" i="32"/>
  <c r="M206" i="32"/>
  <c r="I244" i="32"/>
  <c r="N31" i="32"/>
  <c r="N76" i="32"/>
  <c r="D61" i="32"/>
  <c r="D25" i="32"/>
  <c r="M117" i="32"/>
  <c r="M170" i="32"/>
  <c r="K133" i="32"/>
  <c r="K153" i="32"/>
  <c r="D207" i="32"/>
  <c r="D261" i="32"/>
  <c r="F214" i="32"/>
  <c r="F258" i="32"/>
  <c r="C233" i="32"/>
  <c r="C244" i="32"/>
  <c r="K234" i="32"/>
  <c r="D243" i="32"/>
  <c r="J144" i="32"/>
  <c r="N206" i="32"/>
  <c r="E25" i="32"/>
  <c r="C41" i="32"/>
  <c r="L133" i="32"/>
  <c r="K207" i="32"/>
  <c r="K261" i="32"/>
  <c r="F243" i="32"/>
  <c r="J244" i="32"/>
  <c r="K152" i="32"/>
  <c r="L244" i="32"/>
  <c r="J26" i="32"/>
  <c r="J79" i="32"/>
  <c r="E61" i="32"/>
  <c r="J61" i="32"/>
  <c r="I153" i="32"/>
  <c r="D41" i="32"/>
  <c r="M133" i="32"/>
  <c r="M207" i="32"/>
  <c r="M261" i="32"/>
  <c r="L235" i="32"/>
  <c r="J243" i="32"/>
  <c r="P43" i="32"/>
  <c r="E215" i="32"/>
  <c r="F216" i="32"/>
  <c r="F259" i="32"/>
  <c r="N152" i="32"/>
  <c r="F133" i="32"/>
  <c r="L61" i="32"/>
  <c r="J133" i="32"/>
  <c r="C207" i="32"/>
  <c r="C261" i="32"/>
  <c r="C243" i="32"/>
  <c r="L25" i="32"/>
  <c r="E41" i="32"/>
  <c r="E44" i="32"/>
  <c r="E80" i="32"/>
  <c r="N133" i="32"/>
  <c r="N135" i="32"/>
  <c r="N171" i="32"/>
  <c r="N207" i="32"/>
  <c r="N261" i="32"/>
  <c r="K243" i="32"/>
  <c r="T82" i="32"/>
  <c r="T272" i="33"/>
  <c r="T273" i="33"/>
  <c r="T274" i="33"/>
  <c r="T80" i="33"/>
  <c r="X74" i="33"/>
  <c r="H6" i="33"/>
  <c r="H61" i="33" s="1"/>
  <c r="H14" i="33"/>
  <c r="H15" i="33" s="1"/>
  <c r="H147" i="33"/>
  <c r="H175" i="33"/>
  <c r="D213" i="33"/>
  <c r="D214" i="33"/>
  <c r="D265" i="33"/>
  <c r="D247" i="33"/>
  <c r="N212" i="33"/>
  <c r="N247" i="33"/>
  <c r="N213" i="33"/>
  <c r="N214" i="33"/>
  <c r="N265" i="33"/>
  <c r="X75" i="33"/>
  <c r="X168" i="33" s="1"/>
  <c r="X263" i="33" s="1"/>
  <c r="G27" i="33"/>
  <c r="G28" i="33"/>
  <c r="G81" i="33"/>
  <c r="C33" i="33"/>
  <c r="C34" i="33"/>
  <c r="F121" i="33"/>
  <c r="F122" i="33"/>
  <c r="F173" i="33"/>
  <c r="G121" i="33"/>
  <c r="G122" i="33"/>
  <c r="G173" i="33"/>
  <c r="N63" i="33"/>
  <c r="H248" i="33"/>
  <c r="H238" i="33"/>
  <c r="K156" i="33"/>
  <c r="K146" i="33"/>
  <c r="C262" i="33"/>
  <c r="I248" i="33"/>
  <c r="I238" i="33"/>
  <c r="L156" i="33"/>
  <c r="L146" i="33"/>
  <c r="J248" i="33"/>
  <c r="J238" i="33"/>
  <c r="M156" i="33"/>
  <c r="M146" i="33"/>
  <c r="K248" i="33"/>
  <c r="K238" i="33"/>
  <c r="N156" i="33"/>
  <c r="N146" i="33"/>
  <c r="L248" i="33"/>
  <c r="L238" i="33"/>
  <c r="M120" i="33"/>
  <c r="M121" i="33"/>
  <c r="M122" i="33"/>
  <c r="M173" i="33"/>
  <c r="N120" i="33"/>
  <c r="N155" i="33"/>
  <c r="N121" i="33"/>
  <c r="N122" i="33"/>
  <c r="N173" i="33"/>
  <c r="G127" i="33"/>
  <c r="H128" i="33"/>
  <c r="H171" i="33"/>
  <c r="G126" i="33"/>
  <c r="G170" i="33"/>
  <c r="I63" i="33"/>
  <c r="M43" i="33"/>
  <c r="M46" i="33"/>
  <c r="M82" i="33"/>
  <c r="J63" i="33"/>
  <c r="J121" i="33"/>
  <c r="J122" i="33"/>
  <c r="J173" i="33"/>
  <c r="I147" i="33"/>
  <c r="I175" i="33"/>
  <c r="N26" i="33"/>
  <c r="N27" i="33"/>
  <c r="N28" i="33"/>
  <c r="N81" i="33"/>
  <c r="D33" i="33"/>
  <c r="D78" i="33"/>
  <c r="D34" i="33"/>
  <c r="E35" i="33"/>
  <c r="E79" i="33"/>
  <c r="K120" i="33"/>
  <c r="K155" i="33"/>
  <c r="D127" i="33"/>
  <c r="D126" i="33"/>
  <c r="D170" i="33"/>
  <c r="J147" i="33"/>
  <c r="J175" i="33"/>
  <c r="H25" i="33"/>
  <c r="H26" i="33"/>
  <c r="F25" i="33"/>
  <c r="F26" i="33"/>
  <c r="E25" i="33"/>
  <c r="E26" i="33"/>
  <c r="E63" i="33"/>
  <c r="G25" i="33"/>
  <c r="G26" i="33"/>
  <c r="D25" i="33"/>
  <c r="T76" i="33"/>
  <c r="C25" i="33"/>
  <c r="C26" i="33"/>
  <c r="C63" i="33"/>
  <c r="F155" i="33"/>
  <c r="E127" i="33"/>
  <c r="F128" i="33"/>
  <c r="F171" i="33"/>
  <c r="E126" i="33"/>
  <c r="E170" i="33"/>
  <c r="L138" i="33"/>
  <c r="L174" i="33"/>
  <c r="E219" i="33"/>
  <c r="F220" i="33"/>
  <c r="F263" i="33"/>
  <c r="E218" i="33"/>
  <c r="E262" i="33"/>
  <c r="F63" i="33"/>
  <c r="G155" i="33"/>
  <c r="F127" i="33"/>
  <c r="G128" i="33"/>
  <c r="G171" i="33"/>
  <c r="F126" i="33"/>
  <c r="F170" i="33"/>
  <c r="H63" i="33"/>
  <c r="K63" i="33"/>
  <c r="F27" i="33"/>
  <c r="F28" i="33"/>
  <c r="F81" i="33"/>
  <c r="G43" i="33"/>
  <c r="G46" i="33"/>
  <c r="G82" i="33"/>
  <c r="F43" i="33"/>
  <c r="F46" i="33"/>
  <c r="F82" i="33"/>
  <c r="E43" i="33"/>
  <c r="E46" i="33"/>
  <c r="E82" i="33"/>
  <c r="D43" i="33"/>
  <c r="D46" i="33"/>
  <c r="D82" i="33"/>
  <c r="H43" i="33"/>
  <c r="C43" i="33"/>
  <c r="C46" i="33"/>
  <c r="C82" i="33"/>
  <c r="L63" i="33"/>
  <c r="C83" i="33"/>
  <c r="C55" i="33"/>
  <c r="L211" i="33"/>
  <c r="L212" i="33"/>
  <c r="L247" i="33"/>
  <c r="K211" i="33"/>
  <c r="K212" i="33"/>
  <c r="K247" i="33"/>
  <c r="J211" i="33"/>
  <c r="J212" i="33"/>
  <c r="J247" i="33"/>
  <c r="I211" i="33"/>
  <c r="H211" i="33"/>
  <c r="C211" i="33"/>
  <c r="G63" i="33"/>
  <c r="H27" i="33"/>
  <c r="H28" i="33"/>
  <c r="H81" i="33"/>
  <c r="M212" i="33"/>
  <c r="M247" i="33"/>
  <c r="G248" i="33"/>
  <c r="G238" i="33"/>
  <c r="J136" i="33"/>
  <c r="I136" i="33"/>
  <c r="T177" i="33"/>
  <c r="T178" i="33"/>
  <c r="T179" i="33"/>
  <c r="H136" i="33"/>
  <c r="H138" i="33"/>
  <c r="H174" i="33"/>
  <c r="G136" i="33"/>
  <c r="G138" i="33"/>
  <c r="G174" i="33"/>
  <c r="F136" i="33"/>
  <c r="F138" i="33"/>
  <c r="F174" i="33"/>
  <c r="M27" i="33"/>
  <c r="M28" i="33"/>
  <c r="M81" i="33"/>
  <c r="C170" i="33"/>
  <c r="N33" i="33"/>
  <c r="N78" i="33"/>
  <c r="N34" i="33"/>
  <c r="P35" i="33"/>
  <c r="M155" i="33"/>
  <c r="M63" i="33"/>
  <c r="I121" i="33"/>
  <c r="I122" i="33"/>
  <c r="I173" i="33"/>
  <c r="F209" i="33"/>
  <c r="E209" i="33"/>
  <c r="D209" i="33"/>
  <c r="D212" i="33"/>
  <c r="C209" i="33"/>
  <c r="H209" i="33"/>
  <c r="G209" i="33"/>
  <c r="P216" i="33"/>
  <c r="T268" i="33"/>
  <c r="G219" i="33"/>
  <c r="H220" i="33"/>
  <c r="H263" i="33"/>
  <c r="L27" i="33"/>
  <c r="L28" i="33"/>
  <c r="L81" i="33"/>
  <c r="J155" i="33"/>
  <c r="M137" i="33"/>
  <c r="M138" i="33"/>
  <c r="M174" i="33"/>
  <c r="L137" i="33"/>
  <c r="K137" i="33"/>
  <c r="K138" i="33"/>
  <c r="K174" i="33"/>
  <c r="J137" i="33"/>
  <c r="I137" i="33"/>
  <c r="N137" i="33"/>
  <c r="N138" i="33"/>
  <c r="N174" i="33"/>
  <c r="AA80" i="33"/>
  <c r="J44" i="33"/>
  <c r="J46" i="33"/>
  <c r="J82" i="33"/>
  <c r="H137" i="33"/>
  <c r="I44" i="33"/>
  <c r="I46" i="33"/>
  <c r="I82" i="33"/>
  <c r="G137" i="33"/>
  <c r="H44" i="33"/>
  <c r="F137" i="33"/>
  <c r="G44" i="33"/>
  <c r="F267" i="33"/>
  <c r="D118" i="33"/>
  <c r="C118" i="33"/>
  <c r="C120" i="33"/>
  <c r="C155" i="33"/>
  <c r="D156" i="33"/>
  <c r="D146" i="33"/>
  <c r="I155" i="33"/>
  <c r="M210" i="33"/>
  <c r="E156" i="33"/>
  <c r="E146" i="33"/>
  <c r="F156" i="33"/>
  <c r="F146" i="33"/>
  <c r="I210" i="33"/>
  <c r="H210" i="33"/>
  <c r="G210" i="33"/>
  <c r="F210" i="33"/>
  <c r="E210" i="33"/>
  <c r="E267" i="33"/>
  <c r="E239" i="33"/>
  <c r="L119" i="33"/>
  <c r="L120" i="33"/>
  <c r="L155" i="33"/>
  <c r="K119" i="33"/>
  <c r="J119" i="33"/>
  <c r="J120" i="33"/>
  <c r="I119" i="33"/>
  <c r="I120" i="33"/>
  <c r="H119" i="33"/>
  <c r="H120" i="33"/>
  <c r="G156" i="33"/>
  <c r="G146" i="33"/>
  <c r="C146" i="33"/>
  <c r="T83" i="32"/>
  <c r="T84" i="32"/>
  <c r="G244" i="32"/>
  <c r="G234" i="32"/>
  <c r="L243" i="32"/>
  <c r="L206" i="32"/>
  <c r="L207" i="32"/>
  <c r="L261" i="32"/>
  <c r="C116" i="32"/>
  <c r="C152" i="32"/>
  <c r="C117" i="32"/>
  <c r="C170" i="32"/>
  <c r="L134" i="32"/>
  <c r="L135" i="32"/>
  <c r="L171" i="32"/>
  <c r="K134" i="32"/>
  <c r="K135" i="32"/>
  <c r="K171" i="32"/>
  <c r="J134" i="32"/>
  <c r="J135" i="32"/>
  <c r="J171" i="32"/>
  <c r="M134" i="32"/>
  <c r="M135" i="32"/>
  <c r="M171" i="32"/>
  <c r="I134" i="32"/>
  <c r="I135" i="32"/>
  <c r="I171" i="32"/>
  <c r="D134" i="32"/>
  <c r="J42" i="32"/>
  <c r="D42" i="32"/>
  <c r="D44" i="32"/>
  <c r="D80" i="32"/>
  <c r="C42" i="32"/>
  <c r="N134" i="32"/>
  <c r="G42" i="32"/>
  <c r="H134" i="32"/>
  <c r="F42" i="32"/>
  <c r="F44" i="32"/>
  <c r="F80" i="32"/>
  <c r="G134" i="32"/>
  <c r="F134" i="32"/>
  <c r="F135" i="32"/>
  <c r="F171" i="32"/>
  <c r="E134" i="32"/>
  <c r="E135" i="32"/>
  <c r="E171" i="32"/>
  <c r="N172" i="32"/>
  <c r="N144" i="32"/>
  <c r="K26" i="32"/>
  <c r="K79" i="32"/>
  <c r="G44" i="32"/>
  <c r="G80" i="32"/>
  <c r="D125" i="32"/>
  <c r="D168" i="32"/>
  <c r="J214" i="32"/>
  <c r="J258" i="32"/>
  <c r="J215" i="32"/>
  <c r="K216" i="32"/>
  <c r="K259" i="32"/>
  <c r="E31" i="32"/>
  <c r="E76" i="32"/>
  <c r="E32" i="32"/>
  <c r="F33" i="32"/>
  <c r="F77" i="32"/>
  <c r="D33" i="32"/>
  <c r="D77" i="32"/>
  <c r="D124" i="32"/>
  <c r="E125" i="32"/>
  <c r="E168" i="32"/>
  <c r="D123" i="32"/>
  <c r="D167" i="32"/>
  <c r="C143" i="32"/>
  <c r="C153" i="32"/>
  <c r="K214" i="32"/>
  <c r="K258" i="32"/>
  <c r="K215" i="32"/>
  <c r="L216" i="32"/>
  <c r="L259" i="32"/>
  <c r="C51" i="32"/>
  <c r="C62" i="32"/>
  <c r="M44" i="32"/>
  <c r="M80" i="32"/>
  <c r="P50" i="32"/>
  <c r="W73" i="32"/>
  <c r="Y73" i="32" s="1"/>
  <c r="J124" i="32"/>
  <c r="K125" i="32"/>
  <c r="K168" i="32"/>
  <c r="J123" i="32"/>
  <c r="J167" i="32"/>
  <c r="E42" i="32"/>
  <c r="G26" i="32"/>
  <c r="G79" i="32"/>
  <c r="G25" i="32"/>
  <c r="K42" i="32"/>
  <c r="K44" i="32"/>
  <c r="K80" i="32"/>
  <c r="M153" i="32"/>
  <c r="M143" i="32"/>
  <c r="E234" i="32"/>
  <c r="E244" i="32"/>
  <c r="M244" i="32"/>
  <c r="M234" i="32"/>
  <c r="F153" i="32"/>
  <c r="F143" i="32"/>
  <c r="I124" i="32"/>
  <c r="J125" i="32"/>
  <c r="J168" i="32"/>
  <c r="I123" i="32"/>
  <c r="I167" i="32"/>
  <c r="K25" i="32"/>
  <c r="N44" i="32"/>
  <c r="N80" i="32"/>
  <c r="C134" i="32"/>
  <c r="C135" i="32"/>
  <c r="C171" i="32"/>
  <c r="H42" i="32"/>
  <c r="F61" i="32"/>
  <c r="F25" i="32"/>
  <c r="I42" i="32"/>
  <c r="I44" i="32"/>
  <c r="I80" i="32"/>
  <c r="L153" i="32"/>
  <c r="L143" i="32"/>
  <c r="H25" i="32"/>
  <c r="H26" i="32"/>
  <c r="H79" i="32"/>
  <c r="L42" i="32"/>
  <c r="L44" i="32"/>
  <c r="L80" i="32"/>
  <c r="AA78" i="32"/>
  <c r="N212" i="32"/>
  <c r="P212" i="32"/>
  <c r="T259" i="32"/>
  <c r="P210" i="32"/>
  <c r="F31" i="32"/>
  <c r="F76" i="32"/>
  <c r="F32" i="32"/>
  <c r="G33" i="32"/>
  <c r="G77" i="32"/>
  <c r="D32" i="32"/>
  <c r="E33" i="32"/>
  <c r="E77" i="32"/>
  <c r="E123" i="32"/>
  <c r="E167" i="32"/>
  <c r="E124" i="32"/>
  <c r="F125" i="32"/>
  <c r="F168" i="32"/>
  <c r="F124" i="32"/>
  <c r="G125" i="32"/>
  <c r="G168" i="32"/>
  <c r="T172" i="32"/>
  <c r="T173" i="32"/>
  <c r="T174" i="32"/>
  <c r="D152" i="32"/>
  <c r="D116" i="32"/>
  <c r="G207" i="32"/>
  <c r="G261" i="32"/>
  <c r="G206" i="32"/>
  <c r="G243" i="32"/>
  <c r="H207" i="32"/>
  <c r="H261" i="32"/>
  <c r="H243" i="32"/>
  <c r="C61" i="32"/>
  <c r="C26" i="32"/>
  <c r="C79" i="32"/>
  <c r="I32" i="32"/>
  <c r="J33" i="32"/>
  <c r="J77" i="32"/>
  <c r="I31" i="32"/>
  <c r="I76" i="32"/>
  <c r="J44" i="32"/>
  <c r="J80" i="32"/>
  <c r="F152" i="32"/>
  <c r="F116" i="32"/>
  <c r="F117" i="32"/>
  <c r="F170" i="32"/>
  <c r="D117" i="32"/>
  <c r="D170" i="32"/>
  <c r="I206" i="32"/>
  <c r="I207" i="32"/>
  <c r="I261" i="32"/>
  <c r="I243" i="32"/>
  <c r="C214" i="32"/>
  <c r="C215" i="32"/>
  <c r="G32" i="32"/>
  <c r="H33" i="32"/>
  <c r="H77" i="32"/>
  <c r="H44" i="32"/>
  <c r="H80" i="32"/>
  <c r="N234" i="32"/>
  <c r="N244" i="32"/>
  <c r="W252" i="32"/>
  <c r="C76" i="32"/>
  <c r="N121" i="32"/>
  <c r="P120" i="32"/>
  <c r="F244" i="32"/>
  <c r="F234" i="32"/>
  <c r="G172" i="32"/>
  <c r="G144" i="32"/>
  <c r="H31" i="32"/>
  <c r="H76" i="32"/>
  <c r="D244" i="32"/>
  <c r="D234" i="32"/>
  <c r="T263" i="32"/>
  <c r="T264" i="32"/>
  <c r="T265" i="32"/>
  <c r="E243" i="32"/>
  <c r="E207" i="32"/>
  <c r="E261" i="32"/>
  <c r="M214" i="32"/>
  <c r="M258" i="32"/>
  <c r="M215" i="32"/>
  <c r="N216" i="32"/>
  <c r="N259" i="32"/>
  <c r="P29" i="32"/>
  <c r="M61" i="32"/>
  <c r="I116" i="32"/>
  <c r="P121" i="32"/>
  <c r="T168" i="32"/>
  <c r="J152" i="32"/>
  <c r="N215" i="32"/>
  <c r="P216" i="32"/>
  <c r="N214" i="32"/>
  <c r="N258" i="32"/>
  <c r="I61" i="32"/>
  <c r="E152" i="32"/>
  <c r="E116" i="32"/>
  <c r="J207" i="32"/>
  <c r="J261" i="32"/>
  <c r="L152" i="32"/>
  <c r="L116" i="32"/>
  <c r="D153" i="32"/>
  <c r="D143" i="32"/>
  <c r="G133" i="32"/>
  <c r="G135" i="32"/>
  <c r="G171" i="32"/>
  <c r="H133" i="32"/>
  <c r="H135" i="32"/>
  <c r="H171" i="32"/>
  <c r="F174" i="26"/>
  <c r="F146" i="26"/>
  <c r="H238" i="26"/>
  <c r="H266" i="26"/>
  <c r="C217" i="26"/>
  <c r="C261" i="26"/>
  <c r="C33" i="26"/>
  <c r="G266" i="26"/>
  <c r="I32" i="26"/>
  <c r="I77" i="26"/>
  <c r="M247" i="26"/>
  <c r="K237" i="26"/>
  <c r="K266" i="26"/>
  <c r="P123" i="26"/>
  <c r="T173" i="26"/>
  <c r="D217" i="26"/>
  <c r="D261" i="26"/>
  <c r="D33" i="26"/>
  <c r="E34" i="26"/>
  <c r="E78" i="26"/>
  <c r="H145" i="26"/>
  <c r="N237" i="26"/>
  <c r="G145" i="26"/>
  <c r="H32" i="26"/>
  <c r="H77" i="26"/>
  <c r="E126" i="26"/>
  <c r="F127" i="26"/>
  <c r="F170" i="26"/>
  <c r="H247" i="26"/>
  <c r="J237" i="26"/>
  <c r="J266" i="26"/>
  <c r="F33" i="26"/>
  <c r="G34" i="26"/>
  <c r="G78" i="26"/>
  <c r="I145" i="26"/>
  <c r="I174" i="26"/>
  <c r="L126" i="26"/>
  <c r="M127" i="26"/>
  <c r="M170" i="26"/>
  <c r="I125" i="26"/>
  <c r="I169" i="26"/>
  <c r="I237" i="26"/>
  <c r="I266" i="26"/>
  <c r="E146" i="26"/>
  <c r="H125" i="26"/>
  <c r="H169" i="26"/>
  <c r="D174" i="26"/>
  <c r="D146" i="26"/>
  <c r="D155" i="26"/>
  <c r="M266" i="26"/>
  <c r="C125" i="26"/>
  <c r="C169" i="26"/>
  <c r="P215" i="26"/>
  <c r="T268" i="26"/>
  <c r="C145" i="26"/>
  <c r="F237" i="26"/>
  <c r="F238" i="26"/>
  <c r="K118" i="26"/>
  <c r="K119" i="26"/>
  <c r="D125" i="26"/>
  <c r="D169" i="26"/>
  <c r="G32" i="26"/>
  <c r="G77" i="26"/>
  <c r="E237" i="26"/>
  <c r="N218" i="26"/>
  <c r="P219" i="26"/>
  <c r="C247" i="26"/>
  <c r="J238" i="26"/>
  <c r="L33" i="26"/>
  <c r="M34" i="26"/>
  <c r="M78" i="26"/>
  <c r="N155" i="26"/>
  <c r="I238" i="26"/>
  <c r="C53" i="26"/>
  <c r="C54" i="26"/>
  <c r="K217" i="26"/>
  <c r="K261" i="26"/>
  <c r="J126" i="26"/>
  <c r="K127" i="26"/>
  <c r="K170" i="26"/>
  <c r="J125" i="26"/>
  <c r="J169" i="26"/>
  <c r="L155" i="26"/>
  <c r="L145" i="26"/>
  <c r="L237" i="26"/>
  <c r="L247" i="26"/>
  <c r="M33" i="26"/>
  <c r="N34" i="26"/>
  <c r="N78" i="26"/>
  <c r="M32" i="26"/>
  <c r="M77" i="26"/>
  <c r="K155" i="26"/>
  <c r="K145" i="26"/>
  <c r="J155" i="26"/>
  <c r="J145" i="26"/>
  <c r="N125" i="26"/>
  <c r="N169" i="26"/>
  <c r="I218" i="26"/>
  <c r="J219" i="26"/>
  <c r="J262" i="26"/>
  <c r="I217" i="26"/>
  <c r="I261" i="26"/>
  <c r="K33" i="26"/>
  <c r="L34" i="26"/>
  <c r="L78" i="26"/>
  <c r="K32" i="26"/>
  <c r="K77" i="26"/>
  <c r="N174" i="26"/>
  <c r="N146" i="26"/>
  <c r="G218" i="26"/>
  <c r="H219" i="26"/>
  <c r="H262" i="26"/>
  <c r="G217" i="26"/>
  <c r="G261" i="26"/>
  <c r="I118" i="26"/>
  <c r="I119" i="26"/>
  <c r="J118" i="26"/>
  <c r="J119" i="26"/>
  <c r="J33" i="26"/>
  <c r="K34" i="26"/>
  <c r="K78" i="26"/>
  <c r="J32" i="26"/>
  <c r="J77" i="26"/>
  <c r="D247" i="26"/>
  <c r="D237" i="26"/>
  <c r="F218" i="26"/>
  <c r="F217" i="26"/>
  <c r="F261" i="26"/>
  <c r="I146" i="26"/>
  <c r="E33" i="26"/>
  <c r="F34" i="26"/>
  <c r="F78" i="26"/>
  <c r="P30" i="26"/>
  <c r="T80" i="26"/>
  <c r="E155" i="26"/>
  <c r="C238" i="26"/>
  <c r="C266" i="26"/>
  <c r="N118" i="26"/>
  <c r="N119" i="26"/>
  <c r="L217" i="26"/>
  <c r="L261" i="26"/>
  <c r="M118" i="26"/>
  <c r="M119" i="26"/>
  <c r="D34" i="26"/>
  <c r="D78" i="26"/>
  <c r="D127" i="26"/>
  <c r="D170" i="26"/>
  <c r="J217" i="26"/>
  <c r="J261" i="26"/>
  <c r="N32" i="26"/>
  <c r="N77" i="26"/>
  <c r="M126" i="26"/>
  <c r="N127" i="26"/>
  <c r="N170" i="26"/>
  <c r="M125" i="26"/>
  <c r="M169" i="26"/>
  <c r="E238" i="26"/>
  <c r="E266" i="26"/>
  <c r="H118" i="26"/>
  <c r="H119" i="26"/>
  <c r="K126" i="26"/>
  <c r="L127" i="26"/>
  <c r="L170" i="26"/>
  <c r="K125" i="26"/>
  <c r="K169" i="26"/>
  <c r="M155" i="26"/>
  <c r="M145" i="26"/>
  <c r="C6" i="26"/>
  <c r="C60" i="26" s="1"/>
  <c r="D211" i="24"/>
  <c r="M210" i="24"/>
  <c r="D210" i="24"/>
  <c r="T169" i="24"/>
  <c r="C209" i="24"/>
  <c r="F211" i="24"/>
  <c r="E211" i="24"/>
  <c r="N209" i="24"/>
  <c r="H209" i="24"/>
  <c r="J211" i="24"/>
  <c r="I211" i="24"/>
  <c r="H211" i="24"/>
  <c r="G211" i="24"/>
  <c r="G209" i="24"/>
  <c r="L210" i="24"/>
  <c r="E209" i="24"/>
  <c r="E212" i="24"/>
  <c r="T264" i="24"/>
  <c r="K210" i="24"/>
  <c r="K212" i="24"/>
  <c r="D209" i="24"/>
  <c r="D212" i="24"/>
  <c r="C210" i="24"/>
  <c r="J210" i="24"/>
  <c r="N211" i="24"/>
  <c r="M211" i="24"/>
  <c r="G210" i="24"/>
  <c r="L211" i="24"/>
  <c r="F210" i="24"/>
  <c r="F209" i="24"/>
  <c r="F212" i="24"/>
  <c r="C211" i="24"/>
  <c r="I210" i="24"/>
  <c r="I212" i="24"/>
  <c r="H210" i="24"/>
  <c r="H212" i="24"/>
  <c r="E210" i="24"/>
  <c r="M209" i="24"/>
  <c r="M212" i="24"/>
  <c r="L209" i="24"/>
  <c r="P44" i="26"/>
  <c r="H174" i="26"/>
  <c r="H146" i="26"/>
  <c r="C136" i="26"/>
  <c r="D136" i="26"/>
  <c r="E136" i="26"/>
  <c r="F136" i="26"/>
  <c r="G136" i="26"/>
  <c r="H136" i="26"/>
  <c r="I136" i="26"/>
  <c r="J136" i="26"/>
  <c r="K136" i="26"/>
  <c r="L136" i="26"/>
  <c r="M136" i="26"/>
  <c r="N136" i="26"/>
  <c r="AA80" i="26"/>
  <c r="C117" i="26"/>
  <c r="D117" i="26"/>
  <c r="E117" i="26"/>
  <c r="F117" i="26"/>
  <c r="G117" i="26"/>
  <c r="H117" i="26"/>
  <c r="I117" i="26"/>
  <c r="J117" i="26"/>
  <c r="K117" i="26"/>
  <c r="L117" i="26"/>
  <c r="M117" i="26"/>
  <c r="N117" i="26"/>
  <c r="T169" i="26"/>
  <c r="C228" i="26"/>
  <c r="D228" i="26"/>
  <c r="E228" i="26"/>
  <c r="F228" i="26"/>
  <c r="G228" i="26"/>
  <c r="H228" i="26"/>
  <c r="I228" i="26"/>
  <c r="J228" i="26"/>
  <c r="K228" i="26"/>
  <c r="L228" i="26"/>
  <c r="M228" i="26"/>
  <c r="N228" i="26"/>
  <c r="C210" i="26"/>
  <c r="D210" i="26"/>
  <c r="E210" i="26"/>
  <c r="F210" i="26"/>
  <c r="G210" i="26"/>
  <c r="H210" i="26"/>
  <c r="I210" i="26"/>
  <c r="J210" i="26"/>
  <c r="K210" i="26"/>
  <c r="L210" i="26"/>
  <c r="M210" i="26"/>
  <c r="N210" i="26"/>
  <c r="C209" i="26"/>
  <c r="D209" i="26"/>
  <c r="E209" i="26"/>
  <c r="F209" i="26"/>
  <c r="G209" i="26"/>
  <c r="H209" i="26"/>
  <c r="I209" i="26"/>
  <c r="J209" i="26"/>
  <c r="K209" i="26"/>
  <c r="L209" i="26"/>
  <c r="M209" i="26"/>
  <c r="N209" i="26"/>
  <c r="C208" i="26"/>
  <c r="D208" i="26"/>
  <c r="E208" i="26"/>
  <c r="F208" i="26"/>
  <c r="G208" i="26"/>
  <c r="H208" i="26"/>
  <c r="I208" i="26"/>
  <c r="J208" i="26"/>
  <c r="K208" i="26"/>
  <c r="L208" i="26"/>
  <c r="M208" i="26"/>
  <c r="N208" i="26"/>
  <c r="K42" i="14"/>
  <c r="L42" i="14"/>
  <c r="P42" i="14"/>
  <c r="M42" i="14"/>
  <c r="N42" i="14"/>
  <c r="C42" i="14"/>
  <c r="J42" i="14"/>
  <c r="I42" i="14"/>
  <c r="H42" i="14"/>
  <c r="G42" i="14"/>
  <c r="F42" i="14"/>
  <c r="D118" i="24"/>
  <c r="D120" i="24"/>
  <c r="D155" i="24"/>
  <c r="J119" i="24"/>
  <c r="I119" i="24"/>
  <c r="E120" i="24"/>
  <c r="E155" i="24"/>
  <c r="E121" i="24"/>
  <c r="E122" i="24"/>
  <c r="E173" i="24"/>
  <c r="D121" i="24"/>
  <c r="D122" i="24"/>
  <c r="D173" i="24"/>
  <c r="C118" i="24"/>
  <c r="N118" i="24"/>
  <c r="M118" i="24"/>
  <c r="L118" i="24"/>
  <c r="K118" i="24"/>
  <c r="K120" i="24"/>
  <c r="K155" i="24"/>
  <c r="J118" i="24"/>
  <c r="I118" i="24"/>
  <c r="H119" i="24"/>
  <c r="H118" i="24"/>
  <c r="H120" i="24"/>
  <c r="H155" i="24"/>
  <c r="N119" i="24"/>
  <c r="G118" i="24"/>
  <c r="G120" i="24"/>
  <c r="G155" i="24"/>
  <c r="M119" i="24"/>
  <c r="F118" i="24"/>
  <c r="L119" i="24"/>
  <c r="N25" i="24"/>
  <c r="N26" i="24"/>
  <c r="N63" i="24"/>
  <c r="M25" i="24"/>
  <c r="M26" i="24"/>
  <c r="M63" i="24"/>
  <c r="L25" i="24"/>
  <c r="L26" i="24"/>
  <c r="L63" i="24"/>
  <c r="K25" i="24"/>
  <c r="K26" i="24"/>
  <c r="K63" i="24"/>
  <c r="J25" i="24"/>
  <c r="J26" i="24"/>
  <c r="J63" i="24"/>
  <c r="I25" i="24"/>
  <c r="T76" i="24"/>
  <c r="H25" i="24"/>
  <c r="H26" i="24"/>
  <c r="H63" i="24"/>
  <c r="G25" i="24"/>
  <c r="G26" i="24"/>
  <c r="G63" i="24"/>
  <c r="F25" i="24"/>
  <c r="F26" i="24"/>
  <c r="F27" i="24"/>
  <c r="F28" i="24"/>
  <c r="F81" i="24"/>
  <c r="E25" i="24"/>
  <c r="E26" i="24"/>
  <c r="E63" i="24"/>
  <c r="D25" i="24"/>
  <c r="D26" i="24"/>
  <c r="D63" i="24"/>
  <c r="C34" i="24"/>
  <c r="D35" i="24"/>
  <c r="D79" i="24"/>
  <c r="D34" i="24"/>
  <c r="E35" i="24"/>
  <c r="E79" i="24"/>
  <c r="N175" i="24"/>
  <c r="C27" i="24"/>
  <c r="C28" i="24"/>
  <c r="C81" i="24"/>
  <c r="C63" i="24"/>
  <c r="G34" i="24"/>
  <c r="H35" i="24"/>
  <c r="H79" i="24"/>
  <c r="I218" i="24"/>
  <c r="I262" i="24"/>
  <c r="K175" i="24"/>
  <c r="J218" i="24"/>
  <c r="J262" i="24"/>
  <c r="J33" i="24"/>
  <c r="J78" i="24"/>
  <c r="K218" i="24"/>
  <c r="K262" i="24"/>
  <c r="K33" i="24"/>
  <c r="K78" i="24"/>
  <c r="L218" i="24"/>
  <c r="L262" i="24"/>
  <c r="L33" i="24"/>
  <c r="L78" i="24"/>
  <c r="G146" i="24"/>
  <c r="G147" i="24"/>
  <c r="M218" i="24"/>
  <c r="M262" i="24"/>
  <c r="N238" i="24"/>
  <c r="N267" i="24"/>
  <c r="E126" i="24"/>
  <c r="E170" i="24"/>
  <c r="I146" i="24"/>
  <c r="I175" i="24"/>
  <c r="N218" i="24"/>
  <c r="N262" i="24"/>
  <c r="F126" i="24"/>
  <c r="F170" i="24"/>
  <c r="J146" i="24"/>
  <c r="J175" i="24"/>
  <c r="J126" i="24"/>
  <c r="J170" i="24"/>
  <c r="L146" i="24"/>
  <c r="L175" i="24"/>
  <c r="K126" i="24"/>
  <c r="K170" i="24"/>
  <c r="K156" i="24"/>
  <c r="N127" i="24"/>
  <c r="P128" i="24"/>
  <c r="C220" i="24"/>
  <c r="C263" i="24"/>
  <c r="F248" i="24"/>
  <c r="F238" i="24"/>
  <c r="F267" i="24"/>
  <c r="G238" i="24"/>
  <c r="G267" i="24"/>
  <c r="G248" i="24"/>
  <c r="H238" i="24"/>
  <c r="H267" i="24"/>
  <c r="H248" i="24"/>
  <c r="D126" i="24"/>
  <c r="D170" i="24"/>
  <c r="I248" i="24"/>
  <c r="I238" i="24"/>
  <c r="I239" i="24"/>
  <c r="C126" i="24"/>
  <c r="C170" i="24"/>
  <c r="C127" i="24"/>
  <c r="D128" i="24"/>
  <c r="D171" i="24"/>
  <c r="C156" i="24"/>
  <c r="C146" i="24"/>
  <c r="C147" i="24"/>
  <c r="C218" i="24"/>
  <c r="C262" i="24"/>
  <c r="C219" i="24"/>
  <c r="D220" i="24"/>
  <c r="D263" i="24"/>
  <c r="D218" i="24"/>
  <c r="D262" i="24"/>
  <c r="D219" i="24"/>
  <c r="E220" i="24"/>
  <c r="E263" i="24"/>
  <c r="P45" i="24"/>
  <c r="F34" i="24"/>
  <c r="G35" i="24"/>
  <c r="G79" i="24"/>
  <c r="F33" i="24"/>
  <c r="F78" i="24"/>
  <c r="H34" i="24"/>
  <c r="I35" i="24"/>
  <c r="I79" i="24"/>
  <c r="I34" i="24"/>
  <c r="J35" i="24"/>
  <c r="J79" i="24"/>
  <c r="G127" i="24"/>
  <c r="H128" i="24"/>
  <c r="H171" i="24"/>
  <c r="N34" i="24"/>
  <c r="P35" i="24"/>
  <c r="I127" i="24"/>
  <c r="J128" i="24"/>
  <c r="J171" i="24"/>
  <c r="P31" i="24"/>
  <c r="J238" i="24"/>
  <c r="J267" i="24"/>
  <c r="K238" i="24"/>
  <c r="K239" i="24"/>
  <c r="C267" i="24"/>
  <c r="M34" i="24"/>
  <c r="N35" i="24"/>
  <c r="N79" i="24"/>
  <c r="M33" i="24"/>
  <c r="M78" i="24"/>
  <c r="H145" i="24"/>
  <c r="H156" i="24"/>
  <c r="P144" i="24"/>
  <c r="M127" i="24"/>
  <c r="N128" i="24"/>
  <c r="N171" i="24"/>
  <c r="M126" i="24"/>
  <c r="M170" i="24"/>
  <c r="M156" i="24"/>
  <c r="M146" i="24"/>
  <c r="E34" i="24"/>
  <c r="P124" i="24"/>
  <c r="T173" i="24"/>
  <c r="N156" i="24"/>
  <c r="H127" i="24"/>
  <c r="D146" i="24"/>
  <c r="C248" i="24"/>
  <c r="E146" i="24"/>
  <c r="E218" i="24"/>
  <c r="D248" i="24"/>
  <c r="C78" i="24"/>
  <c r="G6" i="24"/>
  <c r="G61" i="24" s="1"/>
  <c r="P216" i="24"/>
  <c r="T268" i="24"/>
  <c r="G218" i="24"/>
  <c r="G262" i="24"/>
  <c r="G219" i="24"/>
  <c r="H220" i="24"/>
  <c r="H263" i="24"/>
  <c r="H218" i="24"/>
  <c r="H262" i="24"/>
  <c r="H219" i="24"/>
  <c r="I220" i="24"/>
  <c r="I263" i="24"/>
  <c r="D267" i="24"/>
  <c r="D239" i="24"/>
  <c r="T272" i="24"/>
  <c r="T273" i="24"/>
  <c r="T274" i="24"/>
  <c r="E267" i="24"/>
  <c r="E239" i="24"/>
  <c r="C53" i="24"/>
  <c r="C64" i="24"/>
  <c r="P52" i="24"/>
  <c r="W75" i="24"/>
  <c r="W168" i="24" s="1"/>
  <c r="L127" i="24"/>
  <c r="M128" i="24"/>
  <c r="M171" i="24"/>
  <c r="L126" i="24"/>
  <c r="L170" i="24"/>
  <c r="F146" i="24"/>
  <c r="F218" i="24"/>
  <c r="F262" i="24"/>
  <c r="E248" i="24"/>
  <c r="L248" i="24"/>
  <c r="L238" i="24"/>
  <c r="M248" i="24"/>
  <c r="M238" i="24"/>
  <c r="Y74" i="22"/>
  <c r="D238" i="22"/>
  <c r="F238" i="22"/>
  <c r="P34" i="22"/>
  <c r="P44" i="22"/>
  <c r="AA80" i="22"/>
  <c r="I146" i="22"/>
  <c r="N204" i="6"/>
  <c r="P204" i="6"/>
  <c r="L16" i="3"/>
  <c r="J17" i="3"/>
  <c r="L17" i="3"/>
  <c r="J18" i="3"/>
  <c r="L18" i="3"/>
  <c r="J19" i="3"/>
  <c r="L19" i="3"/>
  <c r="J20" i="3"/>
  <c r="L20" i="3"/>
  <c r="J21" i="3"/>
  <c r="L21" i="3"/>
  <c r="J22" i="3"/>
  <c r="L22" i="3"/>
  <c r="J23" i="3"/>
  <c r="L23" i="3"/>
  <c r="J24" i="3"/>
  <c r="L24" i="3"/>
  <c r="N116" i="6"/>
  <c r="N120" i="14"/>
  <c r="P120" i="14"/>
  <c r="P29" i="7"/>
  <c r="N29" i="7"/>
  <c r="P235" i="22"/>
  <c r="R5" i="3"/>
  <c r="P6" i="3"/>
  <c r="R6" i="3"/>
  <c r="P7" i="3"/>
  <c r="R7" i="3"/>
  <c r="P8" i="3"/>
  <c r="R8" i="3"/>
  <c r="P143" i="22"/>
  <c r="G146" i="22"/>
  <c r="L146" i="22"/>
  <c r="P219" i="22"/>
  <c r="M146" i="22"/>
  <c r="N146" i="22"/>
  <c r="P43" i="14"/>
  <c r="AA81" i="14"/>
  <c r="C45" i="13"/>
  <c r="N36" i="13"/>
  <c r="G45" i="13"/>
  <c r="N35" i="13"/>
  <c r="F45" i="13"/>
  <c r="N34" i="13"/>
  <c r="E45" i="13"/>
  <c r="N33" i="13"/>
  <c r="D45" i="13"/>
  <c r="F26" i="13"/>
  <c r="M32" i="13"/>
  <c r="C28" i="13"/>
  <c r="E26" i="13"/>
  <c r="O32" i="13"/>
  <c r="P32" i="13"/>
  <c r="L33" i="13"/>
  <c r="D26" i="13"/>
  <c r="C26" i="13"/>
  <c r="G26" i="13"/>
  <c r="N257" i="6"/>
  <c r="N229" i="6"/>
  <c r="H228" i="6"/>
  <c r="H238" i="6"/>
  <c r="C208" i="6"/>
  <c r="C209" i="6"/>
  <c r="N238" i="6"/>
  <c r="N200" i="6"/>
  <c r="H237" i="6"/>
  <c r="H200" i="6"/>
  <c r="J228" i="6"/>
  <c r="L228" i="6"/>
  <c r="I237" i="6"/>
  <c r="M228" i="6"/>
  <c r="H201" i="6"/>
  <c r="H255" i="6"/>
  <c r="E208" i="6"/>
  <c r="E252" i="6"/>
  <c r="G228" i="6"/>
  <c r="G238" i="6"/>
  <c r="N237" i="6"/>
  <c r="D208" i="6"/>
  <c r="D252" i="6"/>
  <c r="D209" i="6"/>
  <c r="E210" i="6"/>
  <c r="E253" i="6"/>
  <c r="I228" i="6"/>
  <c r="K228" i="6"/>
  <c r="J200" i="6"/>
  <c r="J201" i="6"/>
  <c r="J255" i="6"/>
  <c r="K200" i="6"/>
  <c r="K201" i="6"/>
  <c r="K255" i="6"/>
  <c r="I201" i="6"/>
  <c r="I255" i="6"/>
  <c r="F208" i="6"/>
  <c r="F252" i="6"/>
  <c r="L237" i="6"/>
  <c r="C227" i="6"/>
  <c r="I7" i="16"/>
  <c r="P34" i="36"/>
  <c r="L35" i="36"/>
  <c r="M35" i="36"/>
  <c r="F26" i="36"/>
  <c r="O33" i="36"/>
  <c r="D26" i="36"/>
  <c r="E26" i="36"/>
  <c r="G26" i="36"/>
  <c r="H144" i="32"/>
  <c r="H172" i="32"/>
  <c r="C44" i="32"/>
  <c r="C80" i="32"/>
  <c r="C234" i="32"/>
  <c r="D135" i="32"/>
  <c r="D171" i="32"/>
  <c r="K263" i="32"/>
  <c r="K235" i="32"/>
  <c r="H121" i="33"/>
  <c r="H122" i="33"/>
  <c r="H173" i="33"/>
  <c r="H155" i="33"/>
  <c r="F213" i="33"/>
  <c r="F214" i="33"/>
  <c r="F265" i="33"/>
  <c r="E213" i="33"/>
  <c r="E214" i="33"/>
  <c r="E265" i="33"/>
  <c r="P219" i="33"/>
  <c r="T267" i="33"/>
  <c r="I138" i="33"/>
  <c r="I174" i="33"/>
  <c r="K121" i="33"/>
  <c r="K122" i="33"/>
  <c r="K173" i="33"/>
  <c r="H212" i="33"/>
  <c r="H247" i="33"/>
  <c r="K147" i="33"/>
  <c r="K175" i="33"/>
  <c r="C212" i="33"/>
  <c r="C247" i="33"/>
  <c r="C213" i="33"/>
  <c r="C214" i="33"/>
  <c r="C265" i="33"/>
  <c r="N175" i="33"/>
  <c r="N147" i="33"/>
  <c r="I239" i="33"/>
  <c r="I267" i="33"/>
  <c r="E27" i="33"/>
  <c r="E28" i="33"/>
  <c r="E81" i="33"/>
  <c r="F175" i="33"/>
  <c r="F147" i="33"/>
  <c r="E147" i="33"/>
  <c r="E175" i="33"/>
  <c r="C78" i="33"/>
  <c r="P33" i="33"/>
  <c r="T78" i="33"/>
  <c r="D147" i="33"/>
  <c r="D175" i="33"/>
  <c r="H239" i="33"/>
  <c r="H267" i="33"/>
  <c r="L213" i="33"/>
  <c r="L214" i="33"/>
  <c r="L265" i="33"/>
  <c r="E128" i="33"/>
  <c r="E171" i="33"/>
  <c r="P127" i="33"/>
  <c r="T172" i="33"/>
  <c r="J267" i="33"/>
  <c r="J239" i="33"/>
  <c r="C147" i="33"/>
  <c r="C175" i="33"/>
  <c r="G239" i="33"/>
  <c r="G267" i="33"/>
  <c r="D26" i="33"/>
  <c r="D63" i="33"/>
  <c r="D27" i="33"/>
  <c r="D28" i="33"/>
  <c r="D81" i="33"/>
  <c r="L175" i="33"/>
  <c r="L147" i="33"/>
  <c r="E212" i="33"/>
  <c r="E247" i="33"/>
  <c r="H46" i="33"/>
  <c r="H82" i="33"/>
  <c r="C27" i="33"/>
  <c r="C28" i="33"/>
  <c r="C81" i="33"/>
  <c r="L121" i="33"/>
  <c r="L122" i="33"/>
  <c r="L173" i="33"/>
  <c r="K239" i="33"/>
  <c r="K267" i="33"/>
  <c r="D120" i="33"/>
  <c r="D155" i="33"/>
  <c r="D121" i="33"/>
  <c r="D122" i="33"/>
  <c r="D173" i="33"/>
  <c r="J213" i="33"/>
  <c r="J214" i="33"/>
  <c r="J265" i="33"/>
  <c r="M175" i="33"/>
  <c r="M147" i="33"/>
  <c r="K213" i="33"/>
  <c r="K214" i="33"/>
  <c r="K265" i="33"/>
  <c r="J138" i="33"/>
  <c r="J174" i="33"/>
  <c r="G147" i="33"/>
  <c r="G175" i="33"/>
  <c r="C121" i="33"/>
  <c r="C122" i="33"/>
  <c r="C173" i="33"/>
  <c r="G212" i="33"/>
  <c r="I212" i="33"/>
  <c r="I247" i="33"/>
  <c r="L267" i="33"/>
  <c r="L239" i="33"/>
  <c r="M213" i="33"/>
  <c r="M214" i="33"/>
  <c r="M265" i="33"/>
  <c r="F212" i="33"/>
  <c r="F247" i="33"/>
  <c r="P126" i="33"/>
  <c r="T171" i="33"/>
  <c r="P218" i="33"/>
  <c r="T266" i="33"/>
  <c r="D35" i="33"/>
  <c r="D79" i="33"/>
  <c r="P34" i="33"/>
  <c r="T79" i="33"/>
  <c r="N263" i="32"/>
  <c r="N235" i="32"/>
  <c r="P124" i="32"/>
  <c r="T167" i="32"/>
  <c r="F172" i="32"/>
  <c r="F144" i="32"/>
  <c r="P123" i="32"/>
  <c r="T166" i="32"/>
  <c r="F263" i="32"/>
  <c r="F235" i="32"/>
  <c r="P215" i="32"/>
  <c r="T258" i="32"/>
  <c r="D216" i="32"/>
  <c r="D259" i="32"/>
  <c r="D172" i="32"/>
  <c r="D144" i="32"/>
  <c r="X72" i="32"/>
  <c r="T78" i="32"/>
  <c r="X73" i="32"/>
  <c r="X71" i="32" s="1"/>
  <c r="P214" i="32"/>
  <c r="T257" i="32"/>
  <c r="C258" i="32"/>
  <c r="C172" i="32"/>
  <c r="C144" i="32"/>
  <c r="M263" i="32"/>
  <c r="M235" i="32"/>
  <c r="P31" i="32"/>
  <c r="T76" i="32"/>
  <c r="P32" i="32"/>
  <c r="T77" i="32"/>
  <c r="E263" i="32"/>
  <c r="E235" i="32"/>
  <c r="G235" i="32"/>
  <c r="G263" i="32"/>
  <c r="D263" i="32"/>
  <c r="D235" i="32"/>
  <c r="M172" i="32"/>
  <c r="M144" i="32"/>
  <c r="L144" i="32"/>
  <c r="L172" i="32"/>
  <c r="C52" i="32"/>
  <c r="P33" i="26"/>
  <c r="T79" i="26"/>
  <c r="K238" i="26"/>
  <c r="C82" i="26"/>
  <c r="G174" i="26"/>
  <c r="G146" i="26"/>
  <c r="J211" i="26"/>
  <c r="J212" i="26"/>
  <c r="J213" i="26"/>
  <c r="J264" i="26"/>
  <c r="N266" i="26"/>
  <c r="N238" i="26"/>
  <c r="C174" i="26"/>
  <c r="C146" i="26"/>
  <c r="F266" i="26"/>
  <c r="M211" i="26"/>
  <c r="L211" i="26"/>
  <c r="L212" i="26"/>
  <c r="L213" i="26"/>
  <c r="L264" i="26"/>
  <c r="K211" i="26"/>
  <c r="K212" i="26"/>
  <c r="K213" i="26"/>
  <c r="K264" i="26"/>
  <c r="J174" i="26"/>
  <c r="J146" i="26"/>
  <c r="H211" i="26"/>
  <c r="H212" i="26"/>
  <c r="H213" i="26"/>
  <c r="H264" i="26"/>
  <c r="G219" i="26"/>
  <c r="G262" i="26"/>
  <c r="P218" i="26"/>
  <c r="T267" i="26"/>
  <c r="I211" i="26"/>
  <c r="I212" i="26"/>
  <c r="I213" i="26"/>
  <c r="I264" i="26"/>
  <c r="D266" i="26"/>
  <c r="D238" i="26"/>
  <c r="G211" i="26"/>
  <c r="G246" i="26"/>
  <c r="F211" i="26"/>
  <c r="E211" i="26"/>
  <c r="E246" i="26"/>
  <c r="P125" i="26"/>
  <c r="T171" i="26"/>
  <c r="D211" i="26"/>
  <c r="D212" i="26"/>
  <c r="D213" i="26"/>
  <c r="D264" i="26"/>
  <c r="C211" i="26"/>
  <c r="C246" i="26"/>
  <c r="M174" i="26"/>
  <c r="M146" i="26"/>
  <c r="L266" i="26"/>
  <c r="L238" i="26"/>
  <c r="K174" i="26"/>
  <c r="K146" i="26"/>
  <c r="P32" i="26"/>
  <c r="T78" i="26"/>
  <c r="X74" i="26"/>
  <c r="X167" i="26" s="1"/>
  <c r="X75" i="26"/>
  <c r="X73" i="26" s="1"/>
  <c r="P217" i="26"/>
  <c r="T266" i="26"/>
  <c r="L174" i="26"/>
  <c r="L146" i="26"/>
  <c r="N211" i="26"/>
  <c r="N246" i="26"/>
  <c r="P126" i="26"/>
  <c r="T172" i="26"/>
  <c r="N212" i="24"/>
  <c r="N213" i="24"/>
  <c r="N214" i="24"/>
  <c r="N265" i="24"/>
  <c r="G212" i="24"/>
  <c r="G213" i="24"/>
  <c r="G214" i="24"/>
  <c r="G265" i="24"/>
  <c r="J212" i="24"/>
  <c r="C212" i="24"/>
  <c r="C213" i="24"/>
  <c r="C214" i="24"/>
  <c r="C265" i="24"/>
  <c r="L212" i="24"/>
  <c r="L213" i="24"/>
  <c r="L214" i="24"/>
  <c r="L265" i="24"/>
  <c r="K213" i="24"/>
  <c r="K214" i="24"/>
  <c r="K265" i="24"/>
  <c r="K247" i="24"/>
  <c r="C247" i="24"/>
  <c r="J213" i="24"/>
  <c r="J214" i="24"/>
  <c r="J265" i="24"/>
  <c r="J247" i="24"/>
  <c r="N247" i="24"/>
  <c r="X74" i="24"/>
  <c r="X167" i="24" s="1"/>
  <c r="X75" i="24"/>
  <c r="X73" i="24" s="1"/>
  <c r="X168" i="24"/>
  <c r="X263" i="24" s="1"/>
  <c r="J120" i="24"/>
  <c r="J155" i="24"/>
  <c r="N212" i="26"/>
  <c r="N213" i="26"/>
  <c r="N264" i="26"/>
  <c r="M246" i="26"/>
  <c r="M212" i="26"/>
  <c r="M213" i="26"/>
  <c r="M264" i="26"/>
  <c r="L246" i="26"/>
  <c r="F246" i="26"/>
  <c r="F212" i="26"/>
  <c r="F213" i="26"/>
  <c r="F264" i="26"/>
  <c r="E212" i="26"/>
  <c r="E213" i="26"/>
  <c r="E264" i="26"/>
  <c r="N154" i="26"/>
  <c r="N120" i="26"/>
  <c r="N121" i="26"/>
  <c r="N172" i="26"/>
  <c r="M154" i="26"/>
  <c r="M120" i="26"/>
  <c r="M121" i="26"/>
  <c r="M172" i="26"/>
  <c r="L154" i="26"/>
  <c r="L120" i="26"/>
  <c r="L121" i="26"/>
  <c r="L172" i="26"/>
  <c r="K154" i="26"/>
  <c r="K120" i="26"/>
  <c r="K121" i="26"/>
  <c r="K172" i="26"/>
  <c r="J154" i="26"/>
  <c r="J120" i="26"/>
  <c r="J121" i="26"/>
  <c r="J172" i="26"/>
  <c r="I154" i="26"/>
  <c r="I120" i="26"/>
  <c r="I121" i="26"/>
  <c r="I172" i="26"/>
  <c r="H154" i="26"/>
  <c r="H120" i="26"/>
  <c r="H121" i="26"/>
  <c r="H172" i="26"/>
  <c r="G154" i="26"/>
  <c r="G120" i="26"/>
  <c r="G121" i="26"/>
  <c r="G172" i="26"/>
  <c r="F154" i="26"/>
  <c r="F120" i="26"/>
  <c r="F121" i="26"/>
  <c r="F172" i="26"/>
  <c r="E154" i="26"/>
  <c r="E120" i="26"/>
  <c r="E121" i="26"/>
  <c r="E172" i="26"/>
  <c r="D154" i="26"/>
  <c r="D120" i="26"/>
  <c r="D121" i="26"/>
  <c r="D172" i="26"/>
  <c r="C154" i="26"/>
  <c r="C120" i="26"/>
  <c r="C121" i="26"/>
  <c r="C172" i="26"/>
  <c r="P9" i="3"/>
  <c r="R9" i="3"/>
  <c r="P10" i="3"/>
  <c r="R10" i="3"/>
  <c r="T8" i="3"/>
  <c r="E213" i="24"/>
  <c r="E214" i="24"/>
  <c r="E265" i="24"/>
  <c r="E247" i="24"/>
  <c r="G247" i="24"/>
  <c r="I213" i="24"/>
  <c r="I214" i="24"/>
  <c r="I265" i="24"/>
  <c r="I247" i="24"/>
  <c r="H213" i="24"/>
  <c r="H214" i="24"/>
  <c r="H265" i="24"/>
  <c r="H247" i="24"/>
  <c r="F213" i="24"/>
  <c r="F214" i="24"/>
  <c r="F265" i="24"/>
  <c r="F247" i="24"/>
  <c r="M213" i="24"/>
  <c r="M214" i="24"/>
  <c r="M265" i="24"/>
  <c r="M247" i="24"/>
  <c r="D213" i="24"/>
  <c r="D214" i="24"/>
  <c r="D265" i="24"/>
  <c r="D247" i="24"/>
  <c r="K121" i="24"/>
  <c r="K122" i="24"/>
  <c r="K173" i="24"/>
  <c r="M120" i="24"/>
  <c r="M155" i="24"/>
  <c r="D27" i="24"/>
  <c r="D28" i="24"/>
  <c r="D81" i="24"/>
  <c r="E27" i="24"/>
  <c r="E28" i="24"/>
  <c r="E81" i="24"/>
  <c r="H146" i="24"/>
  <c r="H147" i="24"/>
  <c r="I120" i="24"/>
  <c r="I155" i="24"/>
  <c r="F120" i="24"/>
  <c r="F155" i="24"/>
  <c r="F121" i="24"/>
  <c r="F122" i="24"/>
  <c r="F173" i="24"/>
  <c r="C120" i="24"/>
  <c r="C155" i="24"/>
  <c r="N120" i="24"/>
  <c r="N155" i="24"/>
  <c r="T80" i="24"/>
  <c r="G121" i="24"/>
  <c r="G122" i="24"/>
  <c r="G173" i="24"/>
  <c r="I267" i="24"/>
  <c r="I147" i="24"/>
  <c r="N27" i="24"/>
  <c r="N28" i="24"/>
  <c r="N81" i="24"/>
  <c r="L120" i="24"/>
  <c r="L155" i="24"/>
  <c r="H121" i="24"/>
  <c r="H122" i="24"/>
  <c r="H173" i="24"/>
  <c r="I121" i="24"/>
  <c r="I122" i="24"/>
  <c r="I173" i="24"/>
  <c r="G27" i="24"/>
  <c r="G28" i="24"/>
  <c r="G81" i="24"/>
  <c r="H27" i="24"/>
  <c r="H28" i="24"/>
  <c r="H81" i="24"/>
  <c r="I26" i="24"/>
  <c r="I63" i="24"/>
  <c r="F63" i="24"/>
  <c r="M27" i="24"/>
  <c r="M28" i="24"/>
  <c r="M81" i="24"/>
  <c r="J27" i="24"/>
  <c r="J28" i="24"/>
  <c r="J81" i="24"/>
  <c r="L27" i="24"/>
  <c r="L28" i="24"/>
  <c r="L81" i="24"/>
  <c r="K27" i="24"/>
  <c r="K28" i="24"/>
  <c r="K81" i="24"/>
  <c r="C175" i="24"/>
  <c r="K267" i="24"/>
  <c r="F239" i="24"/>
  <c r="L147" i="24"/>
  <c r="G175" i="24"/>
  <c r="N239" i="24"/>
  <c r="G239" i="24"/>
  <c r="J147" i="24"/>
  <c r="H239" i="24"/>
  <c r="J239" i="24"/>
  <c r="F35" i="24"/>
  <c r="F79" i="24"/>
  <c r="P34" i="24"/>
  <c r="T79" i="24"/>
  <c r="E175" i="24"/>
  <c r="E147" i="24"/>
  <c r="L239" i="24"/>
  <c r="L267" i="24"/>
  <c r="P219" i="24"/>
  <c r="T267" i="24"/>
  <c r="M175" i="24"/>
  <c r="M147" i="24"/>
  <c r="P126" i="24"/>
  <c r="T171" i="24"/>
  <c r="M239" i="24"/>
  <c r="M267" i="24"/>
  <c r="F147" i="24"/>
  <c r="F175" i="24"/>
  <c r="P33" i="24"/>
  <c r="T78" i="24"/>
  <c r="D175" i="24"/>
  <c r="D147" i="24"/>
  <c r="I128" i="24"/>
  <c r="I171" i="24"/>
  <c r="P127" i="24"/>
  <c r="T172" i="24"/>
  <c r="C54" i="24"/>
  <c r="P218" i="24"/>
  <c r="T266" i="24"/>
  <c r="E262" i="24"/>
  <c r="J238" i="22"/>
  <c r="G238" i="22"/>
  <c r="I238" i="22"/>
  <c r="H238" i="22"/>
  <c r="E146" i="22"/>
  <c r="N238" i="22"/>
  <c r="M238" i="22"/>
  <c r="C238" i="22"/>
  <c r="K146" i="22"/>
  <c r="L238" i="22"/>
  <c r="C54" i="22"/>
  <c r="J146" i="22"/>
  <c r="D146" i="22"/>
  <c r="K238" i="22"/>
  <c r="C146" i="22"/>
  <c r="C46" i="13"/>
  <c r="M33" i="13"/>
  <c r="D46" i="13"/>
  <c r="P33" i="13"/>
  <c r="L34" i="13"/>
  <c r="K257" i="6"/>
  <c r="K229" i="6"/>
  <c r="M257" i="6"/>
  <c r="M229" i="6"/>
  <c r="I229" i="6"/>
  <c r="I257" i="6"/>
  <c r="H257" i="6"/>
  <c r="H229" i="6"/>
  <c r="L229" i="6"/>
  <c r="L257" i="6"/>
  <c r="J229" i="6"/>
  <c r="J257" i="6"/>
  <c r="C228" i="6"/>
  <c r="C238" i="6"/>
  <c r="G257" i="6"/>
  <c r="G229" i="6"/>
  <c r="D210" i="6"/>
  <c r="D253" i="6"/>
  <c r="C252" i="6"/>
  <c r="D27" i="36"/>
  <c r="O34" i="36"/>
  <c r="P35" i="36"/>
  <c r="L36" i="36"/>
  <c r="M36" i="36"/>
  <c r="C235" i="32"/>
  <c r="C263" i="32"/>
  <c r="H213" i="33"/>
  <c r="H214" i="33"/>
  <c r="H265" i="33"/>
  <c r="G247" i="33"/>
  <c r="G213" i="33"/>
  <c r="G214" i="33"/>
  <c r="G265" i="33"/>
  <c r="I213" i="33"/>
  <c r="I214" i="33"/>
  <c r="I265" i="33"/>
  <c r="C81" i="32"/>
  <c r="C53" i="32"/>
  <c r="X162" i="32"/>
  <c r="X253" i="32" s="1"/>
  <c r="H246" i="26"/>
  <c r="J246" i="26"/>
  <c r="D246" i="26"/>
  <c r="K246" i="26"/>
  <c r="G212" i="26"/>
  <c r="G213" i="26"/>
  <c r="G264" i="26"/>
  <c r="I246" i="26"/>
  <c r="C212" i="26"/>
  <c r="C213" i="26"/>
  <c r="C264" i="26"/>
  <c r="X168" i="26"/>
  <c r="L247" i="24"/>
  <c r="I27" i="24"/>
  <c r="I28" i="24"/>
  <c r="I81" i="24"/>
  <c r="M121" i="24"/>
  <c r="M122" i="24"/>
  <c r="M173" i="24"/>
  <c r="J121" i="24"/>
  <c r="J122" i="24"/>
  <c r="J173" i="24"/>
  <c r="H175" i="24"/>
  <c r="C121" i="24"/>
  <c r="C122" i="24"/>
  <c r="C173" i="24"/>
  <c r="L121" i="24"/>
  <c r="L122" i="24"/>
  <c r="L173" i="24"/>
  <c r="N121" i="24"/>
  <c r="N122" i="24"/>
  <c r="N173" i="24"/>
  <c r="C83" i="24"/>
  <c r="C55" i="24"/>
  <c r="H146" i="22"/>
  <c r="P34" i="13"/>
  <c r="L35" i="13"/>
  <c r="M34" i="13"/>
  <c r="O33" i="13"/>
  <c r="D28" i="13"/>
  <c r="C229" i="6"/>
  <c r="C257" i="6"/>
  <c r="P36" i="36"/>
  <c r="L37" i="36"/>
  <c r="M37" i="36"/>
  <c r="O35" i="36"/>
  <c r="E27" i="36"/>
  <c r="O34" i="13"/>
  <c r="E28" i="13"/>
  <c r="E46" i="13"/>
  <c r="M35" i="13"/>
  <c r="F46" i="13"/>
  <c r="F42" i="13"/>
  <c r="P35" i="13"/>
  <c r="L36" i="13"/>
  <c r="AA79" i="14"/>
  <c r="AA78" i="14"/>
  <c r="W102" i="6"/>
  <c r="X103" i="6"/>
  <c r="U120" i="6"/>
  <c r="V121" i="6"/>
  <c r="X122" i="6"/>
  <c r="C165" i="6"/>
  <c r="D165" i="6"/>
  <c r="E165" i="6"/>
  <c r="F165" i="6"/>
  <c r="G165" i="6"/>
  <c r="H165" i="6"/>
  <c r="I165" i="6"/>
  <c r="J165" i="6"/>
  <c r="K165" i="6"/>
  <c r="L165" i="6"/>
  <c r="M165" i="6"/>
  <c r="N165" i="6"/>
  <c r="P137" i="6"/>
  <c r="T115" i="6"/>
  <c r="T204" i="6"/>
  <c r="C138" i="6"/>
  <c r="C149" i="6" s="1"/>
  <c r="D138" i="6"/>
  <c r="D149" i="6" s="1"/>
  <c r="E138" i="6"/>
  <c r="E149" i="6" s="1"/>
  <c r="F138" i="6"/>
  <c r="F149" i="6"/>
  <c r="G138" i="6"/>
  <c r="H138" i="6"/>
  <c r="H149" i="6"/>
  <c r="I138" i="6"/>
  <c r="I149" i="6" s="1"/>
  <c r="J138" i="6"/>
  <c r="J149" i="6" s="1"/>
  <c r="K138" i="6"/>
  <c r="K149" i="6" s="1"/>
  <c r="L138" i="6"/>
  <c r="L149" i="6"/>
  <c r="M138" i="6"/>
  <c r="N138" i="6"/>
  <c r="C139" i="6"/>
  <c r="D139" i="6"/>
  <c r="E139" i="6"/>
  <c r="E168" i="6"/>
  <c r="I139" i="6"/>
  <c r="I168" i="6"/>
  <c r="J139" i="6"/>
  <c r="K139" i="6"/>
  <c r="L139" i="6"/>
  <c r="E140" i="6"/>
  <c r="I140" i="6"/>
  <c r="P127" i="6"/>
  <c r="T96" i="6" s="1"/>
  <c r="P110" i="6"/>
  <c r="T95" i="6" s="1"/>
  <c r="C111" i="6"/>
  <c r="D111" i="6"/>
  <c r="E111" i="6"/>
  <c r="F111" i="6"/>
  <c r="G111" i="6"/>
  <c r="G148" i="6" s="1"/>
  <c r="H111" i="6"/>
  <c r="H148" i="6"/>
  <c r="I111" i="6"/>
  <c r="I148" i="6"/>
  <c r="J111" i="6"/>
  <c r="J148" i="6"/>
  <c r="K111" i="6"/>
  <c r="L111" i="6"/>
  <c r="M111" i="6"/>
  <c r="M148" i="6" s="1"/>
  <c r="N111" i="6"/>
  <c r="N148" i="6" s="1"/>
  <c r="G112" i="6"/>
  <c r="H112" i="6"/>
  <c r="I112" i="6"/>
  <c r="J112" i="6"/>
  <c r="M112" i="6"/>
  <c r="N112" i="6"/>
  <c r="C113" i="6"/>
  <c r="C166" i="6"/>
  <c r="D113" i="6"/>
  <c r="D166" i="6"/>
  <c r="G113" i="6"/>
  <c r="G166" i="6" s="1"/>
  <c r="H113" i="6"/>
  <c r="H166" i="6" s="1"/>
  <c r="I113" i="6"/>
  <c r="I166" i="6"/>
  <c r="J113" i="6"/>
  <c r="J166" i="6"/>
  <c r="K113" i="6"/>
  <c r="K166" i="6"/>
  <c r="M113" i="6"/>
  <c r="M166" i="6"/>
  <c r="N113" i="6"/>
  <c r="N166" i="6" s="1"/>
  <c r="C117" i="6"/>
  <c r="D117" i="6"/>
  <c r="E117" i="6"/>
  <c r="F117" i="6"/>
  <c r="G117" i="6"/>
  <c r="H117" i="6"/>
  <c r="I117" i="6"/>
  <c r="J117" i="6"/>
  <c r="K117" i="6"/>
  <c r="L117" i="6"/>
  <c r="M117" i="6"/>
  <c r="C118" i="6"/>
  <c r="D118" i="6"/>
  <c r="E118" i="6"/>
  <c r="E119" i="6"/>
  <c r="E163" i="6"/>
  <c r="F118" i="6"/>
  <c r="F119" i="6"/>
  <c r="F163" i="6"/>
  <c r="G118" i="6"/>
  <c r="G119" i="6"/>
  <c r="G163" i="6"/>
  <c r="H118" i="6"/>
  <c r="I118" i="6"/>
  <c r="J118" i="6"/>
  <c r="J120" i="6"/>
  <c r="K121" i="6"/>
  <c r="K164" i="6"/>
  <c r="K118" i="6"/>
  <c r="L118" i="6"/>
  <c r="L119" i="6"/>
  <c r="L163" i="6"/>
  <c r="M118" i="6"/>
  <c r="M119" i="6"/>
  <c r="M163" i="6"/>
  <c r="N118" i="6"/>
  <c r="N119" i="6"/>
  <c r="N163" i="6" s="1"/>
  <c r="C119" i="6"/>
  <c r="D119" i="6"/>
  <c r="D163" i="6"/>
  <c r="H119" i="6"/>
  <c r="H163" i="6"/>
  <c r="I119" i="6"/>
  <c r="I163" i="6"/>
  <c r="J119" i="6"/>
  <c r="J163" i="6" s="1"/>
  <c r="K119" i="6"/>
  <c r="K163" i="6" s="1"/>
  <c r="C120" i="6"/>
  <c r="D120" i="6"/>
  <c r="E121" i="6"/>
  <c r="E164" i="6"/>
  <c r="E120" i="6"/>
  <c r="F121" i="6"/>
  <c r="F164" i="6" s="1"/>
  <c r="F120" i="6"/>
  <c r="G121" i="6"/>
  <c r="G164" i="6" s="1"/>
  <c r="G120" i="6"/>
  <c r="H121" i="6"/>
  <c r="H164" i="6" s="1"/>
  <c r="H120" i="6"/>
  <c r="I121" i="6"/>
  <c r="I164" i="6"/>
  <c r="I120" i="6"/>
  <c r="K120" i="6"/>
  <c r="L121" i="6"/>
  <c r="L164" i="6"/>
  <c r="L120" i="6"/>
  <c r="M121" i="6"/>
  <c r="M164" i="6"/>
  <c r="N120" i="6"/>
  <c r="J121" i="6"/>
  <c r="J164" i="6"/>
  <c r="P121" i="6"/>
  <c r="AA74" i="14"/>
  <c r="AA73" i="14"/>
  <c r="AA30" i="6"/>
  <c r="AB31" i="6"/>
  <c r="U28" i="6" s="1"/>
  <c r="W78" i="14"/>
  <c r="Y78" i="14"/>
  <c r="W72" i="14"/>
  <c r="X30" i="6"/>
  <c r="U33" i="6"/>
  <c r="V34" i="6"/>
  <c r="X36" i="6"/>
  <c r="T29" i="6"/>
  <c r="T116" i="6" s="1"/>
  <c r="T205" i="6" s="1"/>
  <c r="T27" i="6"/>
  <c r="C84" i="14"/>
  <c r="T56" i="14" s="1"/>
  <c r="C71" i="14"/>
  <c r="C73" i="14" s="1"/>
  <c r="T48" i="14" s="1"/>
  <c r="T52" i="14" s="1"/>
  <c r="C75" i="14"/>
  <c r="C30" i="14"/>
  <c r="C31" i="14"/>
  <c r="C76" i="14"/>
  <c r="C77" i="14"/>
  <c r="C78" i="14"/>
  <c r="C24" i="14"/>
  <c r="C26" i="14"/>
  <c r="C79" i="14"/>
  <c r="C50" i="14"/>
  <c r="C51" i="14"/>
  <c r="C62" i="14"/>
  <c r="C82" i="14"/>
  <c r="D75" i="14"/>
  <c r="D30" i="14"/>
  <c r="C32" i="14"/>
  <c r="D33" i="14"/>
  <c r="D77" i="14"/>
  <c r="D78" i="14"/>
  <c r="D24" i="14"/>
  <c r="D26" i="14"/>
  <c r="D79" i="14"/>
  <c r="D81" i="14"/>
  <c r="E75" i="14"/>
  <c r="E30" i="14"/>
  <c r="E32" i="14"/>
  <c r="F33" i="14"/>
  <c r="F77" i="14"/>
  <c r="E78" i="14"/>
  <c r="E24" i="14"/>
  <c r="E61" i="14"/>
  <c r="E81" i="14"/>
  <c r="F75" i="14"/>
  <c r="F30" i="14"/>
  <c r="F32" i="14"/>
  <c r="G33" i="14"/>
  <c r="G77" i="14"/>
  <c r="F31" i="14"/>
  <c r="F76" i="14"/>
  <c r="F78" i="14"/>
  <c r="F24" i="14"/>
  <c r="F81" i="14"/>
  <c r="E62" i="14"/>
  <c r="G75" i="14"/>
  <c r="G30" i="14"/>
  <c r="G32" i="14"/>
  <c r="H33" i="14"/>
  <c r="H77" i="14"/>
  <c r="G31" i="14"/>
  <c r="G76" i="14"/>
  <c r="G78" i="14"/>
  <c r="G24" i="14"/>
  <c r="G26" i="14"/>
  <c r="G79" i="14"/>
  <c r="G81" i="14"/>
  <c r="F62" i="14"/>
  <c r="H75" i="14"/>
  <c r="H30" i="14"/>
  <c r="H31" i="14"/>
  <c r="H76" i="14"/>
  <c r="H78" i="14"/>
  <c r="H24" i="14"/>
  <c r="H61" i="14"/>
  <c r="H26" i="14"/>
  <c r="H79" i="14"/>
  <c r="H81" i="14"/>
  <c r="G61" i="14"/>
  <c r="G62" i="14"/>
  <c r="I75" i="14"/>
  <c r="I30" i="14"/>
  <c r="I31" i="14"/>
  <c r="I76" i="14"/>
  <c r="H32" i="14"/>
  <c r="I33" i="14"/>
  <c r="I77" i="14"/>
  <c r="I78" i="14"/>
  <c r="I24" i="14"/>
  <c r="I26" i="14"/>
  <c r="I79" i="14"/>
  <c r="I81" i="14"/>
  <c r="H62" i="14"/>
  <c r="J75" i="14"/>
  <c r="J30" i="14"/>
  <c r="J32" i="14"/>
  <c r="K33" i="14"/>
  <c r="K77" i="14"/>
  <c r="J31" i="14"/>
  <c r="J76" i="14"/>
  <c r="J78" i="14"/>
  <c r="J24" i="14"/>
  <c r="J26" i="14"/>
  <c r="J79" i="14"/>
  <c r="J81" i="14"/>
  <c r="I61" i="14"/>
  <c r="I62" i="14"/>
  <c r="K75" i="14"/>
  <c r="K30" i="14"/>
  <c r="K31" i="14"/>
  <c r="K76" i="14"/>
  <c r="K78" i="14"/>
  <c r="K24" i="14"/>
  <c r="K61" i="14"/>
  <c r="K81" i="14"/>
  <c r="J61" i="14"/>
  <c r="J62" i="14"/>
  <c r="L75" i="14"/>
  <c r="L30" i="14"/>
  <c r="L32" i="14"/>
  <c r="M33" i="14"/>
  <c r="M77" i="14"/>
  <c r="L31" i="14"/>
  <c r="L76" i="14"/>
  <c r="L78" i="14"/>
  <c r="L24" i="14"/>
  <c r="L25" i="14"/>
  <c r="L26" i="14"/>
  <c r="L79" i="14"/>
  <c r="L81" i="14"/>
  <c r="K62" i="14"/>
  <c r="M75" i="14"/>
  <c r="M30" i="14"/>
  <c r="M31" i="14"/>
  <c r="M76" i="14"/>
  <c r="M78" i="14"/>
  <c r="M24" i="14"/>
  <c r="M81" i="14"/>
  <c r="L62" i="14"/>
  <c r="N75" i="14"/>
  <c r="N30" i="14"/>
  <c r="N32" i="14"/>
  <c r="P33" i="14"/>
  <c r="N31" i="14"/>
  <c r="N76" i="14"/>
  <c r="N78" i="14"/>
  <c r="N24" i="14"/>
  <c r="N26" i="14"/>
  <c r="N79" i="14"/>
  <c r="N81" i="14"/>
  <c r="M62" i="14"/>
  <c r="U54" i="14"/>
  <c r="V54" i="14"/>
  <c r="W54" i="14"/>
  <c r="X54" i="14"/>
  <c r="Y54" i="14"/>
  <c r="Z54" i="14"/>
  <c r="AA54" i="14"/>
  <c r="AB54" i="14"/>
  <c r="AC54" i="14"/>
  <c r="AD54" i="14"/>
  <c r="AE54" i="14"/>
  <c r="U242" i="14"/>
  <c r="C5" i="12"/>
  <c r="C6" i="12" s="1"/>
  <c r="T50" i="12"/>
  <c r="U50" i="12"/>
  <c r="AA70" i="12"/>
  <c r="P134" i="14"/>
  <c r="P204" i="14"/>
  <c r="T255" i="14"/>
  <c r="C205" i="14"/>
  <c r="C206" i="14"/>
  <c r="D205" i="14"/>
  <c r="D207" i="14"/>
  <c r="D261" i="14"/>
  <c r="E205" i="14"/>
  <c r="E206" i="14"/>
  <c r="F205" i="14"/>
  <c r="F206" i="14"/>
  <c r="G205" i="14"/>
  <c r="G243" i="14"/>
  <c r="H205" i="14"/>
  <c r="H206" i="14"/>
  <c r="I205" i="14"/>
  <c r="I206" i="14"/>
  <c r="J205" i="14"/>
  <c r="J206" i="14"/>
  <c r="K205" i="14"/>
  <c r="K206" i="14"/>
  <c r="L205" i="14"/>
  <c r="L206" i="14"/>
  <c r="M205" i="14"/>
  <c r="M207" i="14"/>
  <c r="M261" i="14"/>
  <c r="N205" i="14"/>
  <c r="N207" i="14"/>
  <c r="N261" i="14"/>
  <c r="N206" i="14"/>
  <c r="C207" i="14"/>
  <c r="C261" i="14"/>
  <c r="C212" i="14"/>
  <c r="D212" i="14"/>
  <c r="E212" i="14"/>
  <c r="F212" i="14"/>
  <c r="G212" i="14"/>
  <c r="H212" i="14"/>
  <c r="I212" i="14"/>
  <c r="J212" i="14"/>
  <c r="K212" i="14"/>
  <c r="L212" i="14"/>
  <c r="M212" i="14"/>
  <c r="C213" i="14"/>
  <c r="C215" i="14"/>
  <c r="D216" i="14"/>
  <c r="D259" i="14"/>
  <c r="D213" i="14"/>
  <c r="D214" i="14"/>
  <c r="D258" i="14"/>
  <c r="E213" i="14"/>
  <c r="E214" i="14"/>
  <c r="E258" i="14"/>
  <c r="F213" i="14"/>
  <c r="F214" i="14"/>
  <c r="F258" i="14"/>
  <c r="G213" i="14"/>
  <c r="G214" i="14"/>
  <c r="G258" i="14"/>
  <c r="H213" i="14"/>
  <c r="H214" i="14"/>
  <c r="H258" i="14"/>
  <c r="I213" i="14"/>
  <c r="I214" i="14"/>
  <c r="I258" i="14"/>
  <c r="J213" i="14"/>
  <c r="J214" i="14"/>
  <c r="J258" i="14"/>
  <c r="K213" i="14"/>
  <c r="K215" i="14"/>
  <c r="L216" i="14"/>
  <c r="L259" i="14"/>
  <c r="L213" i="14"/>
  <c r="L214" i="14"/>
  <c r="L258" i="14"/>
  <c r="M213" i="14"/>
  <c r="M214" i="14"/>
  <c r="M258" i="14"/>
  <c r="N213" i="14"/>
  <c r="N214" i="14"/>
  <c r="N258" i="14"/>
  <c r="E215" i="14"/>
  <c r="F216" i="14"/>
  <c r="F259" i="14"/>
  <c r="F215" i="14"/>
  <c r="G216" i="14"/>
  <c r="G215" i="14"/>
  <c r="H216" i="14"/>
  <c r="H259" i="14"/>
  <c r="H215" i="14"/>
  <c r="I216" i="14"/>
  <c r="I259" i="14"/>
  <c r="I215" i="14"/>
  <c r="J216" i="14"/>
  <c r="J259" i="14"/>
  <c r="P222" i="14"/>
  <c r="T256" i="14"/>
  <c r="C232" i="14"/>
  <c r="D233" i="14"/>
  <c r="E233" i="14"/>
  <c r="E234" i="14"/>
  <c r="F233" i="14"/>
  <c r="G233" i="14"/>
  <c r="G244" i="14"/>
  <c r="H233" i="14"/>
  <c r="H244" i="14"/>
  <c r="I233" i="14"/>
  <c r="I244" i="14"/>
  <c r="J233" i="14"/>
  <c r="J244" i="14"/>
  <c r="K233" i="14"/>
  <c r="K244" i="14"/>
  <c r="L233" i="14"/>
  <c r="M233" i="14"/>
  <c r="M234" i="14"/>
  <c r="M263" i="14"/>
  <c r="N233" i="14"/>
  <c r="N234" i="14"/>
  <c r="N263" i="14"/>
  <c r="G8" i="5"/>
  <c r="G7" i="8"/>
  <c r="J25" i="5"/>
  <c r="H7" i="5"/>
  <c r="I24" i="5"/>
  <c r="P23" i="14"/>
  <c r="T74" i="14"/>
  <c r="P39" i="14"/>
  <c r="T75" i="14"/>
  <c r="C29" i="14"/>
  <c r="D29" i="14"/>
  <c r="E29" i="14"/>
  <c r="F29" i="14"/>
  <c r="G29" i="14"/>
  <c r="H29" i="14"/>
  <c r="I29" i="14"/>
  <c r="J29" i="14"/>
  <c r="K29" i="14"/>
  <c r="L29" i="14"/>
  <c r="M29" i="14"/>
  <c r="P114" i="14"/>
  <c r="T164" i="14"/>
  <c r="P131" i="14"/>
  <c r="T165" i="14"/>
  <c r="C122" i="14"/>
  <c r="C124" i="14"/>
  <c r="D125" i="14"/>
  <c r="D168" i="14"/>
  <c r="C123" i="14"/>
  <c r="D122" i="14"/>
  <c r="D123" i="14"/>
  <c r="D167" i="14"/>
  <c r="E122" i="14"/>
  <c r="E124" i="14"/>
  <c r="F125" i="14"/>
  <c r="F168" i="14"/>
  <c r="E123" i="14"/>
  <c r="E167" i="14"/>
  <c r="F122" i="14"/>
  <c r="F124" i="14"/>
  <c r="G125" i="14"/>
  <c r="G122" i="14"/>
  <c r="G124" i="14"/>
  <c r="H125" i="14"/>
  <c r="H168" i="14"/>
  <c r="G123" i="14"/>
  <c r="H122" i="14"/>
  <c r="H124" i="14"/>
  <c r="I125" i="14"/>
  <c r="I168" i="14"/>
  <c r="H123" i="14"/>
  <c r="I122" i="14"/>
  <c r="I123" i="14"/>
  <c r="I167" i="14"/>
  <c r="J122" i="14"/>
  <c r="J124" i="14"/>
  <c r="K125" i="14"/>
  <c r="K168" i="14"/>
  <c r="J123" i="14"/>
  <c r="J167" i="14"/>
  <c r="K122" i="14"/>
  <c r="K124" i="14"/>
  <c r="L125" i="14"/>
  <c r="L168" i="14"/>
  <c r="K123" i="14"/>
  <c r="K167" i="14"/>
  <c r="L122" i="14"/>
  <c r="M122" i="14"/>
  <c r="M124" i="14"/>
  <c r="N125" i="14"/>
  <c r="N168" i="14"/>
  <c r="M123" i="14"/>
  <c r="M167" i="14"/>
  <c r="N122" i="14"/>
  <c r="N124" i="14"/>
  <c r="P125" i="14"/>
  <c r="C216" i="14"/>
  <c r="C259" i="14"/>
  <c r="N123" i="14"/>
  <c r="N167" i="14"/>
  <c r="D124" i="14"/>
  <c r="E125" i="14"/>
  <c r="E168" i="14"/>
  <c r="C121" i="14"/>
  <c r="D121" i="14"/>
  <c r="E121" i="14"/>
  <c r="F121" i="14"/>
  <c r="G121" i="14"/>
  <c r="H121" i="14"/>
  <c r="I121" i="14"/>
  <c r="J121" i="14"/>
  <c r="K121" i="14"/>
  <c r="L121" i="14"/>
  <c r="M121" i="14"/>
  <c r="C169" i="14"/>
  <c r="C115" i="14"/>
  <c r="C116" i="14"/>
  <c r="C117" i="14"/>
  <c r="C170" i="14"/>
  <c r="C134" i="14"/>
  <c r="C142" i="14"/>
  <c r="D169" i="14"/>
  <c r="D115" i="14"/>
  <c r="D117" i="14"/>
  <c r="D170" i="14"/>
  <c r="D134" i="14"/>
  <c r="D142" i="14"/>
  <c r="D153" i="14"/>
  <c r="D143" i="14"/>
  <c r="D172" i="14"/>
  <c r="E169" i="14"/>
  <c r="E115" i="14"/>
  <c r="E117" i="14"/>
  <c r="E170" i="14"/>
  <c r="E134" i="14"/>
  <c r="E142" i="14"/>
  <c r="E143" i="14"/>
  <c r="F169" i="14"/>
  <c r="F115" i="14"/>
  <c r="F152" i="14"/>
  <c r="F117" i="14"/>
  <c r="F170" i="14"/>
  <c r="F134" i="14"/>
  <c r="F142" i="14"/>
  <c r="F153" i="14"/>
  <c r="F143" i="14"/>
  <c r="F144" i="14"/>
  <c r="F172" i="14"/>
  <c r="G167" i="14"/>
  <c r="G168" i="14"/>
  <c r="G169" i="14"/>
  <c r="G115" i="14"/>
  <c r="G152" i="14"/>
  <c r="G134" i="14"/>
  <c r="G142" i="14"/>
  <c r="G153" i="14"/>
  <c r="G143" i="14"/>
  <c r="G144" i="14"/>
  <c r="H167" i="14"/>
  <c r="H169" i="14"/>
  <c r="H115" i="14"/>
  <c r="H116" i="14"/>
  <c r="H117" i="14"/>
  <c r="H170" i="14"/>
  <c r="H134" i="14"/>
  <c r="P141" i="14"/>
  <c r="H142" i="14"/>
  <c r="H153" i="14"/>
  <c r="H143" i="14"/>
  <c r="I169" i="14"/>
  <c r="I115" i="14"/>
  <c r="I152" i="14"/>
  <c r="I117" i="14"/>
  <c r="I170" i="14"/>
  <c r="I134" i="14"/>
  <c r="I142" i="14"/>
  <c r="I153" i="14"/>
  <c r="J169" i="14"/>
  <c r="J115" i="14"/>
  <c r="J116" i="14"/>
  <c r="J117" i="14"/>
  <c r="J170" i="14"/>
  <c r="J134" i="14"/>
  <c r="J142" i="14"/>
  <c r="K169" i="14"/>
  <c r="K115" i="14"/>
  <c r="K117" i="14"/>
  <c r="K170" i="14"/>
  <c r="K134" i="14"/>
  <c r="K142" i="14"/>
  <c r="K153" i="14"/>
  <c r="K143" i="14"/>
  <c r="K144" i="14"/>
  <c r="K172" i="14"/>
  <c r="L169" i="14"/>
  <c r="L115" i="14"/>
  <c r="L152" i="14"/>
  <c r="L134" i="14"/>
  <c r="L142" i="14"/>
  <c r="L153" i="14"/>
  <c r="L143" i="14"/>
  <c r="L144" i="14"/>
  <c r="L172" i="14"/>
  <c r="M169" i="14"/>
  <c r="M115" i="14"/>
  <c r="M116" i="14"/>
  <c r="M117" i="14"/>
  <c r="M170" i="14"/>
  <c r="M134" i="14"/>
  <c r="M142" i="14"/>
  <c r="M153" i="14"/>
  <c r="N169" i="14"/>
  <c r="N115" i="14"/>
  <c r="N116" i="14"/>
  <c r="N117" i="14"/>
  <c r="N170" i="14"/>
  <c r="N134" i="14"/>
  <c r="N142" i="14"/>
  <c r="N153" i="14"/>
  <c r="N143" i="14"/>
  <c r="N144" i="14"/>
  <c r="N172" i="14"/>
  <c r="C260" i="14"/>
  <c r="D260" i="14"/>
  <c r="E260" i="14"/>
  <c r="F260" i="14"/>
  <c r="G259" i="14"/>
  <c r="G260" i="14"/>
  <c r="H260" i="14"/>
  <c r="I260" i="14"/>
  <c r="J260" i="14"/>
  <c r="K260" i="14"/>
  <c r="L260" i="14"/>
  <c r="M260" i="14"/>
  <c r="N260" i="14"/>
  <c r="X258" i="14"/>
  <c r="Y259" i="14"/>
  <c r="AA259" i="14"/>
  <c r="W163" i="14"/>
  <c r="X167" i="14"/>
  <c r="Y168" i="14"/>
  <c r="AB151" i="14"/>
  <c r="AC151" i="14"/>
  <c r="AD151" i="14"/>
  <c r="AE151" i="14"/>
  <c r="N62" i="14"/>
  <c r="G25" i="14"/>
  <c r="I25" i="14"/>
  <c r="J25" i="14"/>
  <c r="M5" i="12"/>
  <c r="M6" i="12" s="1"/>
  <c r="M7" i="12" s="1"/>
  <c r="N8" i="12" s="1"/>
  <c r="N70" i="12" s="1"/>
  <c r="N72" i="12" s="1"/>
  <c r="AE47" i="12" s="1"/>
  <c r="AE51" i="12" s="1"/>
  <c r="G5" i="12"/>
  <c r="G6" i="12"/>
  <c r="H5" i="12"/>
  <c r="H6" i="12" s="1"/>
  <c r="H58" i="12" s="1"/>
  <c r="I5" i="12"/>
  <c r="J5" i="12"/>
  <c r="K5" i="12"/>
  <c r="K6" i="12" s="1"/>
  <c r="L5" i="12"/>
  <c r="F5" i="12"/>
  <c r="F14" i="12" s="1"/>
  <c r="E5" i="12"/>
  <c r="E6" i="12" s="1"/>
  <c r="E58" i="12" s="1"/>
  <c r="D5" i="12"/>
  <c r="D14" i="12" s="1"/>
  <c r="P23" i="6"/>
  <c r="C24" i="6"/>
  <c r="D24" i="6"/>
  <c r="E24" i="6"/>
  <c r="F24" i="6"/>
  <c r="G24" i="6"/>
  <c r="H24" i="6"/>
  <c r="I24" i="6"/>
  <c r="J24" i="6"/>
  <c r="K24" i="6"/>
  <c r="L24" i="6"/>
  <c r="M24" i="6"/>
  <c r="N24" i="6"/>
  <c r="C25" i="6"/>
  <c r="D25" i="6"/>
  <c r="E25" i="6"/>
  <c r="F25" i="6"/>
  <c r="G25" i="6"/>
  <c r="H25" i="6"/>
  <c r="I25" i="6"/>
  <c r="J25" i="6"/>
  <c r="K25" i="6"/>
  <c r="L25" i="6"/>
  <c r="M25" i="6"/>
  <c r="N25" i="6"/>
  <c r="C26" i="6"/>
  <c r="D26" i="6"/>
  <c r="E26" i="6"/>
  <c r="F26" i="6"/>
  <c r="G26" i="6"/>
  <c r="H26" i="6"/>
  <c r="I26" i="6"/>
  <c r="J26" i="6"/>
  <c r="K26" i="6"/>
  <c r="L26" i="6"/>
  <c r="M26" i="6"/>
  <c r="N26" i="6"/>
  <c r="C29" i="6"/>
  <c r="D29" i="6"/>
  <c r="E29" i="6"/>
  <c r="F29" i="6"/>
  <c r="G29" i="6"/>
  <c r="H29" i="6"/>
  <c r="I29" i="6"/>
  <c r="J29" i="6"/>
  <c r="K29" i="6"/>
  <c r="L29" i="6"/>
  <c r="M29" i="6"/>
  <c r="C30" i="6"/>
  <c r="D30" i="6"/>
  <c r="E30" i="6"/>
  <c r="F30" i="6"/>
  <c r="G30" i="6"/>
  <c r="H30" i="6"/>
  <c r="I30" i="6"/>
  <c r="J30" i="6"/>
  <c r="K30" i="6"/>
  <c r="L30" i="6"/>
  <c r="M30" i="6"/>
  <c r="N30" i="6"/>
  <c r="C31" i="6"/>
  <c r="D31" i="6"/>
  <c r="E31" i="6"/>
  <c r="F31" i="6"/>
  <c r="G31" i="6"/>
  <c r="H31" i="6"/>
  <c r="I31" i="6"/>
  <c r="J31" i="6"/>
  <c r="K31" i="6"/>
  <c r="L31" i="6"/>
  <c r="M31" i="6"/>
  <c r="N31" i="6"/>
  <c r="P31" i="6"/>
  <c r="C32" i="6"/>
  <c r="D32" i="6"/>
  <c r="E32" i="6"/>
  <c r="F32" i="6"/>
  <c r="G32" i="6"/>
  <c r="H32" i="6"/>
  <c r="I32" i="6"/>
  <c r="J32" i="6"/>
  <c r="K32" i="6"/>
  <c r="L32" i="6"/>
  <c r="M32" i="6"/>
  <c r="N32" i="6"/>
  <c r="P32" i="6"/>
  <c r="D33" i="6"/>
  <c r="E33" i="6"/>
  <c r="F33" i="6"/>
  <c r="G33" i="6"/>
  <c r="H33" i="6"/>
  <c r="I33" i="6"/>
  <c r="J33" i="6"/>
  <c r="K33" i="6"/>
  <c r="L33" i="6"/>
  <c r="M33" i="6"/>
  <c r="N33" i="6"/>
  <c r="P33" i="6"/>
  <c r="C121" i="6" s="1"/>
  <c r="P39" i="6"/>
  <c r="C49" i="6"/>
  <c r="C50" i="6"/>
  <c r="C61" i="6"/>
  <c r="P49" i="6"/>
  <c r="H6" i="6"/>
  <c r="H58" i="6"/>
  <c r="M6" i="6"/>
  <c r="M58" i="6" s="1"/>
  <c r="D60" i="6"/>
  <c r="K14" i="6"/>
  <c r="K15" i="6" s="1"/>
  <c r="L14" i="6"/>
  <c r="L15" i="6" s="1"/>
  <c r="M14" i="6"/>
  <c r="M15" i="6" s="1"/>
  <c r="C60" i="6"/>
  <c r="E60" i="6"/>
  <c r="F60" i="6"/>
  <c r="G60" i="6"/>
  <c r="H60" i="6"/>
  <c r="I60" i="6"/>
  <c r="J60" i="6"/>
  <c r="K60" i="6"/>
  <c r="L60" i="6"/>
  <c r="M60" i="6"/>
  <c r="N60" i="6"/>
  <c r="D61" i="6"/>
  <c r="E61" i="6"/>
  <c r="F61" i="6"/>
  <c r="G61" i="6"/>
  <c r="H61" i="6"/>
  <c r="I61" i="6"/>
  <c r="J61" i="6"/>
  <c r="K61" i="6"/>
  <c r="L61" i="6"/>
  <c r="M61" i="6"/>
  <c r="N61" i="6"/>
  <c r="C8" i="6"/>
  <c r="C70" i="6"/>
  <c r="C72" i="6"/>
  <c r="C74" i="6"/>
  <c r="D74" i="6"/>
  <c r="E74" i="6"/>
  <c r="F74" i="6"/>
  <c r="G74" i="6"/>
  <c r="H74" i="6"/>
  <c r="I74" i="6"/>
  <c r="J74" i="6"/>
  <c r="K74" i="6"/>
  <c r="L74" i="6"/>
  <c r="M74" i="6"/>
  <c r="N74" i="6"/>
  <c r="C75" i="6"/>
  <c r="D75" i="6"/>
  <c r="E75" i="6"/>
  <c r="F75" i="6"/>
  <c r="G75" i="6"/>
  <c r="H75" i="6"/>
  <c r="I75" i="6"/>
  <c r="J75" i="6"/>
  <c r="K75" i="6"/>
  <c r="L75" i="6"/>
  <c r="M75" i="6"/>
  <c r="N75" i="6"/>
  <c r="C76" i="6"/>
  <c r="D76" i="6"/>
  <c r="E76" i="6"/>
  <c r="F76" i="6"/>
  <c r="G76" i="6"/>
  <c r="H76" i="6"/>
  <c r="I76" i="6"/>
  <c r="J76" i="6"/>
  <c r="K76" i="6"/>
  <c r="L76" i="6"/>
  <c r="M76" i="6"/>
  <c r="N76" i="6"/>
  <c r="C77" i="6"/>
  <c r="D77" i="6"/>
  <c r="E77" i="6"/>
  <c r="F77" i="6"/>
  <c r="G77" i="6"/>
  <c r="H77" i="6"/>
  <c r="I77" i="6"/>
  <c r="J77" i="6"/>
  <c r="K77" i="6"/>
  <c r="L77" i="6"/>
  <c r="M77" i="6"/>
  <c r="N77" i="6"/>
  <c r="C78" i="6"/>
  <c r="D78" i="6"/>
  <c r="E78" i="6"/>
  <c r="F78" i="6"/>
  <c r="G78" i="6"/>
  <c r="H78" i="6"/>
  <c r="I78" i="6"/>
  <c r="J78" i="6"/>
  <c r="K78" i="6"/>
  <c r="L78" i="6"/>
  <c r="M78" i="6"/>
  <c r="N78" i="6"/>
  <c r="D80" i="6"/>
  <c r="E80" i="6"/>
  <c r="F80" i="6"/>
  <c r="G80" i="6"/>
  <c r="H80" i="6"/>
  <c r="I80" i="6"/>
  <c r="J80" i="6"/>
  <c r="K80" i="6"/>
  <c r="L80" i="6"/>
  <c r="M80" i="6"/>
  <c r="N80" i="6"/>
  <c r="C81" i="6"/>
  <c r="C83" i="6"/>
  <c r="I23" i="8"/>
  <c r="J24" i="8"/>
  <c r="T80" i="12"/>
  <c r="T81" i="12"/>
  <c r="T82" i="12"/>
  <c r="N5" i="12"/>
  <c r="N6" i="12" s="1"/>
  <c r="N58" i="12" s="1"/>
  <c r="G14" i="12"/>
  <c r="G15" i="12" s="1"/>
  <c r="G59" i="12" s="1"/>
  <c r="G62" i="12" s="1"/>
  <c r="I61" i="12"/>
  <c r="I24" i="12"/>
  <c r="I60" i="12"/>
  <c r="J14" i="12"/>
  <c r="J15" i="12" s="1"/>
  <c r="J59" i="12" s="1"/>
  <c r="J62" i="12" s="1"/>
  <c r="K14" i="12"/>
  <c r="AA72" i="12"/>
  <c r="N61" i="12"/>
  <c r="N24" i="12"/>
  <c r="N60" i="12"/>
  <c r="AE147" i="12"/>
  <c r="AD147" i="12"/>
  <c r="AE150" i="12"/>
  <c r="AC147" i="12"/>
  <c r="AD150" i="12"/>
  <c r="AB147" i="12"/>
  <c r="AC150" i="12"/>
  <c r="AA147" i="12"/>
  <c r="AB150" i="12"/>
  <c r="Y147" i="12"/>
  <c r="Z150" i="12"/>
  <c r="C124" i="12"/>
  <c r="C167" i="12"/>
  <c r="C155" i="12"/>
  <c r="C172" i="12"/>
  <c r="C83" i="12"/>
  <c r="T55" i="12"/>
  <c r="C70" i="12"/>
  <c r="C72" i="12" s="1"/>
  <c r="T47" i="12" s="1"/>
  <c r="T51" i="12" s="1"/>
  <c r="C74" i="12"/>
  <c r="D74" i="12"/>
  <c r="E74" i="12"/>
  <c r="F74" i="12"/>
  <c r="G74" i="12"/>
  <c r="H74" i="12"/>
  <c r="I74" i="12"/>
  <c r="J74" i="12"/>
  <c r="K74" i="12"/>
  <c r="L74" i="12"/>
  <c r="K61" i="12"/>
  <c r="K24" i="12"/>
  <c r="K60" i="12"/>
  <c r="M61" i="12"/>
  <c r="M24" i="12"/>
  <c r="M60" i="12"/>
  <c r="M74" i="12"/>
  <c r="N74" i="12"/>
  <c r="H140" i="12"/>
  <c r="H141" i="12"/>
  <c r="H152" i="12"/>
  <c r="H114" i="12"/>
  <c r="H151" i="12"/>
  <c r="M141" i="12"/>
  <c r="M152" i="12"/>
  <c r="M114" i="12"/>
  <c r="M151" i="12"/>
  <c r="W53" i="12"/>
  <c r="X53" i="12"/>
  <c r="Y53" i="12"/>
  <c r="Z53" i="12"/>
  <c r="AA53" i="12"/>
  <c r="AB53" i="12"/>
  <c r="AC53" i="12"/>
  <c r="AD53" i="12"/>
  <c r="AE53" i="12"/>
  <c r="V53" i="12"/>
  <c r="U53" i="12"/>
  <c r="E71" i="12"/>
  <c r="C8" i="12"/>
  <c r="T5" i="12"/>
  <c r="V11" i="12"/>
  <c r="W11" i="12"/>
  <c r="X11" i="12"/>
  <c r="Y11" i="12"/>
  <c r="Z11" i="12"/>
  <c r="AA11" i="12"/>
  <c r="AB11" i="12"/>
  <c r="U11" i="12"/>
  <c r="T13" i="12"/>
  <c r="AC11" i="12"/>
  <c r="AD11" i="12"/>
  <c r="AE11" i="12"/>
  <c r="AA258" i="12"/>
  <c r="X70" i="12"/>
  <c r="W71" i="12"/>
  <c r="W70" i="12"/>
  <c r="X257" i="12"/>
  <c r="Y258" i="12"/>
  <c r="C231" i="12"/>
  <c r="P231" i="12"/>
  <c r="X166" i="12"/>
  <c r="Y167" i="12"/>
  <c r="X75" i="12"/>
  <c r="Y76" i="12"/>
  <c r="P221" i="12"/>
  <c r="T255" i="12"/>
  <c r="T262" i="12"/>
  <c r="T263" i="12"/>
  <c r="T264" i="12"/>
  <c r="K13" i="8"/>
  <c r="K14" i="5"/>
  <c r="C11" i="5"/>
  <c r="C259" i="12"/>
  <c r="D259" i="12"/>
  <c r="E259" i="12"/>
  <c r="F259" i="12"/>
  <c r="G259" i="12"/>
  <c r="H259" i="12"/>
  <c r="I259" i="12"/>
  <c r="J259" i="12"/>
  <c r="K259" i="12"/>
  <c r="L259" i="12"/>
  <c r="M259" i="12"/>
  <c r="N259" i="12"/>
  <c r="K232" i="12"/>
  <c r="K243" i="12"/>
  <c r="C246" i="12"/>
  <c r="C263" i="12"/>
  <c r="D232" i="12"/>
  <c r="D243" i="12"/>
  <c r="E232" i="12"/>
  <c r="E243" i="12"/>
  <c r="F232" i="12"/>
  <c r="F243" i="12"/>
  <c r="G232" i="12"/>
  <c r="G233" i="12"/>
  <c r="H232" i="12"/>
  <c r="I232" i="12"/>
  <c r="I243" i="12"/>
  <c r="J232" i="12"/>
  <c r="J233" i="12"/>
  <c r="K233" i="12"/>
  <c r="K234" i="12"/>
  <c r="L232" i="12"/>
  <c r="L243" i="12"/>
  <c r="M232" i="12"/>
  <c r="N232" i="12"/>
  <c r="D233" i="12"/>
  <c r="D262" i="12"/>
  <c r="C223" i="12"/>
  <c r="C224" i="12"/>
  <c r="C225" i="12"/>
  <c r="C261" i="12"/>
  <c r="D223" i="12"/>
  <c r="E223" i="12"/>
  <c r="E224" i="12"/>
  <c r="E225" i="12"/>
  <c r="E261" i="12"/>
  <c r="F223" i="12"/>
  <c r="F224" i="12"/>
  <c r="F225" i="12"/>
  <c r="F261" i="12"/>
  <c r="G223" i="12"/>
  <c r="G224" i="12"/>
  <c r="G225" i="12"/>
  <c r="G261" i="12"/>
  <c r="H223" i="12"/>
  <c r="H224" i="12"/>
  <c r="H225" i="12"/>
  <c r="H261" i="12"/>
  <c r="I223" i="12"/>
  <c r="I224" i="12"/>
  <c r="I225" i="12"/>
  <c r="I261" i="12"/>
  <c r="J223" i="12"/>
  <c r="K223" i="12"/>
  <c r="L223" i="12"/>
  <c r="M223" i="12"/>
  <c r="N223" i="12"/>
  <c r="P223" i="12"/>
  <c r="D224" i="12"/>
  <c r="J224" i="12"/>
  <c r="K224" i="12"/>
  <c r="L224" i="12"/>
  <c r="M224" i="12"/>
  <c r="N224" i="12"/>
  <c r="P224" i="12"/>
  <c r="P203" i="12"/>
  <c r="T254" i="12"/>
  <c r="C204" i="12"/>
  <c r="D204" i="12"/>
  <c r="D242" i="12"/>
  <c r="E204" i="12"/>
  <c r="F204" i="12"/>
  <c r="G204" i="12"/>
  <c r="G242" i="12"/>
  <c r="H204" i="12"/>
  <c r="H242" i="12"/>
  <c r="I204" i="12"/>
  <c r="I205" i="12"/>
  <c r="J204" i="12"/>
  <c r="J206" i="12"/>
  <c r="J260" i="12"/>
  <c r="K204" i="12"/>
  <c r="K205" i="12"/>
  <c r="L204" i="12"/>
  <c r="L242" i="12"/>
  <c r="M204" i="12"/>
  <c r="M205" i="12"/>
  <c r="N204" i="12"/>
  <c r="N206" i="12"/>
  <c r="N260" i="12"/>
  <c r="P208" i="12"/>
  <c r="P209" i="12"/>
  <c r="P210" i="12"/>
  <c r="C211" i="12"/>
  <c r="D211" i="12"/>
  <c r="E211" i="12"/>
  <c r="F211" i="12"/>
  <c r="G211" i="12"/>
  <c r="H211" i="12"/>
  <c r="I211" i="12"/>
  <c r="J211" i="12"/>
  <c r="K211" i="12"/>
  <c r="L211" i="12"/>
  <c r="M211" i="12"/>
  <c r="C212" i="12"/>
  <c r="C213" i="12"/>
  <c r="C257" i="12"/>
  <c r="D212" i="12"/>
  <c r="D213" i="12"/>
  <c r="D257" i="12"/>
  <c r="E212" i="12"/>
  <c r="E213" i="12"/>
  <c r="E257" i="12"/>
  <c r="F212" i="12"/>
  <c r="F214" i="12"/>
  <c r="G215" i="12"/>
  <c r="G258" i="12"/>
  <c r="G212" i="12"/>
  <c r="G214" i="12"/>
  <c r="H215" i="12"/>
  <c r="H258" i="12"/>
  <c r="H212" i="12"/>
  <c r="H214" i="12"/>
  <c r="I215" i="12"/>
  <c r="I258" i="12"/>
  <c r="I212" i="12"/>
  <c r="I214" i="12"/>
  <c r="J215" i="12"/>
  <c r="J258" i="12"/>
  <c r="J212" i="12"/>
  <c r="K212" i="12"/>
  <c r="L212" i="12"/>
  <c r="L213" i="12"/>
  <c r="L257" i="12"/>
  <c r="M212" i="12"/>
  <c r="N212" i="12"/>
  <c r="D214" i="12"/>
  <c r="E215" i="12"/>
  <c r="E258" i="12"/>
  <c r="C215" i="12"/>
  <c r="C258" i="12"/>
  <c r="G20" i="11"/>
  <c r="C21" i="11"/>
  <c r="G21" i="11"/>
  <c r="C22" i="11"/>
  <c r="D22" i="11"/>
  <c r="F22" i="11"/>
  <c r="C9" i="5"/>
  <c r="N168" i="12"/>
  <c r="M168" i="12"/>
  <c r="L168" i="12"/>
  <c r="K168" i="12"/>
  <c r="J168" i="12"/>
  <c r="I168" i="12"/>
  <c r="H168" i="12"/>
  <c r="G168" i="12"/>
  <c r="F168" i="12"/>
  <c r="E168" i="12"/>
  <c r="D168" i="12"/>
  <c r="C168" i="12"/>
  <c r="N114" i="12"/>
  <c r="N151" i="12"/>
  <c r="L114" i="12"/>
  <c r="L151" i="12"/>
  <c r="D114" i="12"/>
  <c r="D151" i="12"/>
  <c r="M142" i="12"/>
  <c r="M171" i="12"/>
  <c r="L141" i="12"/>
  <c r="L142" i="12"/>
  <c r="L143" i="12"/>
  <c r="K141" i="12"/>
  <c r="K142" i="12"/>
  <c r="N141" i="12"/>
  <c r="N142" i="12"/>
  <c r="L152" i="12"/>
  <c r="K152" i="12"/>
  <c r="J141" i="12"/>
  <c r="J152" i="12"/>
  <c r="I141" i="12"/>
  <c r="I152" i="12"/>
  <c r="G141" i="12"/>
  <c r="F141" i="12"/>
  <c r="E141" i="12"/>
  <c r="D141" i="12"/>
  <c r="D142" i="12"/>
  <c r="D171" i="12"/>
  <c r="C141" i="12"/>
  <c r="C142" i="12"/>
  <c r="P130" i="12"/>
  <c r="T164" i="12"/>
  <c r="H121" i="12"/>
  <c r="H123" i="12"/>
  <c r="I124" i="12"/>
  <c r="I167" i="12"/>
  <c r="N121" i="12"/>
  <c r="N122" i="12"/>
  <c r="N166" i="12"/>
  <c r="M121" i="12"/>
  <c r="M122" i="12"/>
  <c r="M166" i="12"/>
  <c r="L121" i="12"/>
  <c r="L122" i="12"/>
  <c r="L166" i="12"/>
  <c r="K121" i="12"/>
  <c r="K122" i="12"/>
  <c r="K166" i="12"/>
  <c r="J121" i="12"/>
  <c r="J123" i="12"/>
  <c r="K124" i="12"/>
  <c r="K167" i="12"/>
  <c r="I121" i="12"/>
  <c r="I123" i="12"/>
  <c r="J124" i="12"/>
  <c r="J167" i="12"/>
  <c r="H122" i="12"/>
  <c r="H166" i="12"/>
  <c r="G121" i="12"/>
  <c r="G123" i="12"/>
  <c r="H124" i="12"/>
  <c r="H167" i="12"/>
  <c r="F121" i="12"/>
  <c r="F123" i="12"/>
  <c r="G124" i="12"/>
  <c r="G167" i="12"/>
  <c r="E121" i="12"/>
  <c r="E123" i="12"/>
  <c r="F124" i="12"/>
  <c r="F167" i="12"/>
  <c r="D121" i="12"/>
  <c r="C121" i="12"/>
  <c r="M120" i="12"/>
  <c r="L120" i="12"/>
  <c r="K120" i="12"/>
  <c r="J120" i="12"/>
  <c r="I120" i="12"/>
  <c r="H120" i="12"/>
  <c r="G120" i="12"/>
  <c r="F120" i="12"/>
  <c r="E120" i="12"/>
  <c r="D120" i="12"/>
  <c r="C120" i="12"/>
  <c r="D116" i="12"/>
  <c r="D169" i="12"/>
  <c r="D115" i="12"/>
  <c r="N115" i="12"/>
  <c r="M116" i="12"/>
  <c r="M169" i="12"/>
  <c r="L116" i="12"/>
  <c r="L169" i="12"/>
  <c r="K114" i="12"/>
  <c r="K116" i="12"/>
  <c r="K169" i="12"/>
  <c r="J114" i="12"/>
  <c r="J116" i="12"/>
  <c r="J169" i="12"/>
  <c r="I114" i="12"/>
  <c r="H116" i="12"/>
  <c r="H169" i="12"/>
  <c r="G114" i="12"/>
  <c r="F114" i="12"/>
  <c r="E114" i="12"/>
  <c r="E151" i="12"/>
  <c r="C114" i="12"/>
  <c r="C115" i="12"/>
  <c r="P113" i="12"/>
  <c r="T163" i="12"/>
  <c r="C49" i="12"/>
  <c r="P49" i="12"/>
  <c r="C50" i="12"/>
  <c r="C61" i="12"/>
  <c r="C81" i="12"/>
  <c r="N80" i="12"/>
  <c r="M80" i="12"/>
  <c r="L80" i="12"/>
  <c r="K80" i="12"/>
  <c r="J80" i="12"/>
  <c r="I80" i="12"/>
  <c r="H80" i="12"/>
  <c r="G80" i="12"/>
  <c r="F80" i="12"/>
  <c r="E80" i="12"/>
  <c r="D80" i="12"/>
  <c r="N77" i="12"/>
  <c r="M77" i="12"/>
  <c r="L77" i="12"/>
  <c r="K77" i="12"/>
  <c r="J77" i="12"/>
  <c r="I77" i="12"/>
  <c r="H77" i="12"/>
  <c r="G77" i="12"/>
  <c r="F77" i="12"/>
  <c r="E77" i="12"/>
  <c r="D77" i="12"/>
  <c r="C77" i="12"/>
  <c r="C76" i="12"/>
  <c r="L61" i="12"/>
  <c r="J61" i="12"/>
  <c r="H61" i="12"/>
  <c r="G61" i="12"/>
  <c r="F61" i="12"/>
  <c r="E61" i="12"/>
  <c r="D61" i="12"/>
  <c r="P39" i="12"/>
  <c r="T73" i="12"/>
  <c r="H30" i="12"/>
  <c r="H32" i="12"/>
  <c r="I33" i="12"/>
  <c r="I76" i="12"/>
  <c r="I30" i="12"/>
  <c r="I31" i="12"/>
  <c r="I75" i="12"/>
  <c r="H31" i="12"/>
  <c r="H75" i="12"/>
  <c r="N30" i="12"/>
  <c r="N32" i="12"/>
  <c r="P33" i="12"/>
  <c r="M30" i="12"/>
  <c r="L30" i="12"/>
  <c r="K30" i="12"/>
  <c r="J30" i="12"/>
  <c r="I32" i="12"/>
  <c r="J33" i="12"/>
  <c r="J76" i="12"/>
  <c r="G30" i="12"/>
  <c r="G32" i="12"/>
  <c r="H33" i="12"/>
  <c r="H76" i="12"/>
  <c r="F30" i="12"/>
  <c r="F32" i="12"/>
  <c r="G33" i="12"/>
  <c r="G76" i="12"/>
  <c r="E30" i="12"/>
  <c r="E32" i="12"/>
  <c r="F33" i="12"/>
  <c r="F76" i="12"/>
  <c r="D30" i="12"/>
  <c r="D32" i="12"/>
  <c r="E33" i="12"/>
  <c r="E76" i="12"/>
  <c r="C30" i="12"/>
  <c r="C32" i="12"/>
  <c r="M29" i="12"/>
  <c r="L29" i="12"/>
  <c r="K29" i="12"/>
  <c r="J29" i="12"/>
  <c r="I29" i="12"/>
  <c r="H29" i="12"/>
  <c r="G29" i="12"/>
  <c r="F29" i="12"/>
  <c r="E29" i="12"/>
  <c r="D29" i="12"/>
  <c r="C29" i="12"/>
  <c r="G24" i="12"/>
  <c r="G26" i="12"/>
  <c r="G78" i="12"/>
  <c r="F24" i="12"/>
  <c r="F26" i="12"/>
  <c r="F78" i="12"/>
  <c r="E24" i="12"/>
  <c r="E26" i="12"/>
  <c r="E78" i="12"/>
  <c r="L24" i="12"/>
  <c r="L25" i="12"/>
  <c r="G25" i="12"/>
  <c r="F25" i="12"/>
  <c r="L60" i="12"/>
  <c r="K25" i="12"/>
  <c r="J24" i="12"/>
  <c r="J60" i="12"/>
  <c r="I25" i="12"/>
  <c r="H24" i="12"/>
  <c r="H25" i="12"/>
  <c r="G60" i="12"/>
  <c r="F60" i="12"/>
  <c r="E25" i="12"/>
  <c r="D24" i="12"/>
  <c r="D26" i="12"/>
  <c r="D78" i="12"/>
  <c r="C24" i="12"/>
  <c r="C60" i="12"/>
  <c r="P23" i="12"/>
  <c r="T72" i="12"/>
  <c r="E14" i="11"/>
  <c r="E15" i="11"/>
  <c r="P225" i="14"/>
  <c r="C225" i="14"/>
  <c r="E12" i="11"/>
  <c r="E11" i="11"/>
  <c r="E10" i="11"/>
  <c r="E9" i="11"/>
  <c r="E8" i="11"/>
  <c r="E7" i="11"/>
  <c r="G7" i="11"/>
  <c r="C8" i="11"/>
  <c r="D7" i="11"/>
  <c r="F7" i="11"/>
  <c r="E27" i="11"/>
  <c r="E25" i="11"/>
  <c r="E26" i="11"/>
  <c r="M16" i="11"/>
  <c r="M15" i="11"/>
  <c r="M14" i="11"/>
  <c r="M13" i="11"/>
  <c r="M12" i="11"/>
  <c r="M11" i="11"/>
  <c r="M10" i="11"/>
  <c r="M9" i="11"/>
  <c r="M8" i="11"/>
  <c r="M7" i="11"/>
  <c r="O7" i="11"/>
  <c r="K8" i="11"/>
  <c r="O8" i="11"/>
  <c r="K9" i="11"/>
  <c r="L7" i="11"/>
  <c r="E24" i="11"/>
  <c r="E23" i="11"/>
  <c r="E22" i="11"/>
  <c r="E21" i="11"/>
  <c r="E20" i="11"/>
  <c r="D20" i="11"/>
  <c r="F20" i="11"/>
  <c r="I122" i="12"/>
  <c r="I166" i="12"/>
  <c r="D152" i="12"/>
  <c r="I233" i="12"/>
  <c r="I262" i="12"/>
  <c r="F233" i="12"/>
  <c r="F262" i="12"/>
  <c r="J122" i="12"/>
  <c r="J166" i="12"/>
  <c r="E233" i="12"/>
  <c r="E262" i="12"/>
  <c r="J243" i="12"/>
  <c r="C232" i="12"/>
  <c r="C243" i="12"/>
  <c r="C233" i="12"/>
  <c r="E115" i="12"/>
  <c r="M123" i="12"/>
  <c r="N124" i="12"/>
  <c r="N167" i="12"/>
  <c r="D206" i="12"/>
  <c r="D260" i="12"/>
  <c r="K123" i="12"/>
  <c r="L124" i="12"/>
  <c r="L167" i="12"/>
  <c r="L123" i="12"/>
  <c r="M124" i="12"/>
  <c r="M167" i="12"/>
  <c r="F31" i="12"/>
  <c r="F75" i="12"/>
  <c r="N116" i="12"/>
  <c r="N169" i="12"/>
  <c r="N123" i="12"/>
  <c r="P124" i="12"/>
  <c r="I142" i="12"/>
  <c r="I171" i="12"/>
  <c r="H205" i="12"/>
  <c r="N225" i="12"/>
  <c r="N261" i="12"/>
  <c r="C152" i="12"/>
  <c r="G206" i="12"/>
  <c r="G260" i="12"/>
  <c r="E31" i="12"/>
  <c r="E75" i="12"/>
  <c r="E116" i="12"/>
  <c r="E169" i="12"/>
  <c r="D25" i="12"/>
  <c r="G31" i="12"/>
  <c r="G75" i="12"/>
  <c r="J142" i="12"/>
  <c r="J171" i="12"/>
  <c r="G205" i="12"/>
  <c r="M225" i="12"/>
  <c r="M261" i="12"/>
  <c r="J225" i="12"/>
  <c r="J261" i="12"/>
  <c r="J262" i="12"/>
  <c r="J234" i="12"/>
  <c r="N171" i="12"/>
  <c r="N143" i="12"/>
  <c r="K225" i="12"/>
  <c r="K261" i="12"/>
  <c r="C214" i="12"/>
  <c r="D215" i="12"/>
  <c r="D258" i="12"/>
  <c r="M206" i="12"/>
  <c r="M260" i="12"/>
  <c r="N152" i="12"/>
  <c r="K206" i="12"/>
  <c r="K260" i="12"/>
  <c r="G213" i="12"/>
  <c r="G257" i="12"/>
  <c r="N242" i="12"/>
  <c r="D60" i="12"/>
  <c r="F213" i="12"/>
  <c r="F257" i="12"/>
  <c r="I206" i="12"/>
  <c r="I260" i="12"/>
  <c r="M242" i="12"/>
  <c r="E60" i="12"/>
  <c r="M143" i="12"/>
  <c r="H206" i="12"/>
  <c r="H260" i="12"/>
  <c r="E214" i="12"/>
  <c r="F215" i="12"/>
  <c r="F258" i="12"/>
  <c r="H213" i="12"/>
  <c r="H257" i="12"/>
  <c r="J115" i="12"/>
  <c r="D225" i="12"/>
  <c r="D261" i="12"/>
  <c r="K115" i="12"/>
  <c r="C151" i="12"/>
  <c r="J242" i="12"/>
  <c r="N205" i="12"/>
  <c r="D234" i="12"/>
  <c r="I242" i="12"/>
  <c r="K242" i="12"/>
  <c r="M115" i="12"/>
  <c r="F122" i="12"/>
  <c r="F166" i="12"/>
  <c r="L233" i="12"/>
  <c r="L262" i="12"/>
  <c r="E122" i="12"/>
  <c r="E166" i="12"/>
  <c r="C31" i="12"/>
  <c r="C75" i="12"/>
  <c r="G122" i="12"/>
  <c r="G166" i="12"/>
  <c r="J151" i="12"/>
  <c r="J205" i="12"/>
  <c r="L115" i="12"/>
  <c r="C25" i="12"/>
  <c r="D31" i="12"/>
  <c r="D75" i="12"/>
  <c r="C116" i="12"/>
  <c r="C169" i="12"/>
  <c r="K151" i="12"/>
  <c r="N214" i="12"/>
  <c r="P215" i="12"/>
  <c r="N213" i="12"/>
  <c r="N257" i="12"/>
  <c r="M214" i="12"/>
  <c r="N215" i="12"/>
  <c r="N258" i="12"/>
  <c r="M213" i="12"/>
  <c r="M257" i="12"/>
  <c r="K214" i="12"/>
  <c r="L215" i="12"/>
  <c r="L258" i="12"/>
  <c r="K213" i="12"/>
  <c r="K257" i="12"/>
  <c r="G262" i="12"/>
  <c r="G234" i="12"/>
  <c r="J214" i="12"/>
  <c r="K215" i="12"/>
  <c r="K258" i="12"/>
  <c r="J213" i="12"/>
  <c r="J257" i="12"/>
  <c r="L214" i="12"/>
  <c r="M215" i="12"/>
  <c r="M258" i="12"/>
  <c r="L205" i="12"/>
  <c r="L206" i="12"/>
  <c r="L260" i="12"/>
  <c r="C242" i="12"/>
  <c r="C206" i="12"/>
  <c r="C260" i="12"/>
  <c r="C205" i="12"/>
  <c r="D205" i="12"/>
  <c r="F234" i="12"/>
  <c r="F242" i="12"/>
  <c r="F206" i="12"/>
  <c r="F260" i="12"/>
  <c r="E242" i="12"/>
  <c r="E206" i="12"/>
  <c r="E260" i="12"/>
  <c r="N233" i="12"/>
  <c r="N243" i="12"/>
  <c r="M233" i="12"/>
  <c r="M243" i="12"/>
  <c r="I213" i="12"/>
  <c r="F205" i="12"/>
  <c r="E205" i="12"/>
  <c r="L225" i="12"/>
  <c r="L261" i="12"/>
  <c r="H233" i="12"/>
  <c r="H243" i="12"/>
  <c r="K262" i="12"/>
  <c r="G243" i="12"/>
  <c r="K171" i="12"/>
  <c r="K143" i="12"/>
  <c r="E142" i="12"/>
  <c r="E152" i="12"/>
  <c r="F151" i="12"/>
  <c r="F115" i="12"/>
  <c r="F116" i="12"/>
  <c r="F169" i="12"/>
  <c r="I115" i="12"/>
  <c r="I116" i="12"/>
  <c r="I169" i="12"/>
  <c r="C143" i="12"/>
  <c r="C171" i="12"/>
  <c r="C123" i="12"/>
  <c r="C122" i="12"/>
  <c r="D122" i="12"/>
  <c r="D166" i="12"/>
  <c r="D123" i="12"/>
  <c r="E124" i="12"/>
  <c r="E167" i="12"/>
  <c r="I151" i="12"/>
  <c r="F142" i="12"/>
  <c r="F152" i="12"/>
  <c r="G152" i="12"/>
  <c r="G142" i="12"/>
  <c r="G151" i="12"/>
  <c r="G115" i="12"/>
  <c r="G116" i="12"/>
  <c r="G169" i="12"/>
  <c r="H115" i="12"/>
  <c r="L171" i="12"/>
  <c r="D143" i="12"/>
  <c r="H26" i="12"/>
  <c r="H78" i="12"/>
  <c r="I26" i="12"/>
  <c r="I78" i="12"/>
  <c r="J26" i="12"/>
  <c r="J78" i="12"/>
  <c r="K26" i="12"/>
  <c r="K78" i="12"/>
  <c r="L26" i="12"/>
  <c r="L78" i="12"/>
  <c r="J25" i="12"/>
  <c r="H60" i="12"/>
  <c r="K32" i="12"/>
  <c r="L33" i="12"/>
  <c r="L76" i="12"/>
  <c r="K31" i="12"/>
  <c r="K75" i="12"/>
  <c r="M31" i="12"/>
  <c r="M75" i="12"/>
  <c r="M32" i="12"/>
  <c r="N33" i="12"/>
  <c r="N76" i="12"/>
  <c r="M26" i="12"/>
  <c r="M78" i="12"/>
  <c r="M25" i="12"/>
  <c r="N31" i="12"/>
  <c r="N75" i="12"/>
  <c r="D33" i="12"/>
  <c r="D76" i="12"/>
  <c r="L31" i="12"/>
  <c r="L75" i="12"/>
  <c r="L32" i="12"/>
  <c r="M33" i="12"/>
  <c r="M76" i="12"/>
  <c r="N26" i="12"/>
  <c r="N78" i="12"/>
  <c r="N25" i="12"/>
  <c r="J32" i="12"/>
  <c r="K33" i="12"/>
  <c r="K76" i="12"/>
  <c r="J31" i="12"/>
  <c r="J75" i="12"/>
  <c r="C26" i="12"/>
  <c r="C78" i="12"/>
  <c r="D21" i="11"/>
  <c r="F21" i="11"/>
  <c r="I143" i="12"/>
  <c r="J143" i="12"/>
  <c r="E234" i="12"/>
  <c r="I234" i="12"/>
  <c r="L234" i="12"/>
  <c r="M234" i="12"/>
  <c r="M262" i="12"/>
  <c r="N234" i="12"/>
  <c r="N262" i="12"/>
  <c r="H262" i="12"/>
  <c r="H234" i="12"/>
  <c r="P214" i="12"/>
  <c r="T257" i="12"/>
  <c r="I257" i="12"/>
  <c r="P213" i="12"/>
  <c r="T256" i="12"/>
  <c r="E171" i="12"/>
  <c r="E143" i="12"/>
  <c r="G171" i="12"/>
  <c r="G143" i="12"/>
  <c r="C166" i="12"/>
  <c r="P122" i="12"/>
  <c r="T165" i="12"/>
  <c r="F171" i="12"/>
  <c r="F143" i="12"/>
  <c r="D124" i="12"/>
  <c r="D167" i="12"/>
  <c r="P123" i="12"/>
  <c r="T166" i="12"/>
  <c r="P31" i="12"/>
  <c r="T74" i="12"/>
  <c r="P32" i="12"/>
  <c r="T75" i="12"/>
  <c r="D15" i="3"/>
  <c r="C34" i="9"/>
  <c r="D34" i="9"/>
  <c r="E34" i="9"/>
  <c r="F34" i="9"/>
  <c r="G34" i="9"/>
  <c r="H34" i="9"/>
  <c r="I34" i="9"/>
  <c r="J34" i="9"/>
  <c r="K34" i="9"/>
  <c r="L34" i="9"/>
  <c r="M34" i="9"/>
  <c r="N34" i="9"/>
  <c r="P34" i="9"/>
  <c r="C12" i="10"/>
  <c r="C33" i="9"/>
  <c r="D33" i="9"/>
  <c r="E33" i="9"/>
  <c r="F33" i="9"/>
  <c r="G33" i="9"/>
  <c r="H33" i="9"/>
  <c r="I33" i="9"/>
  <c r="J33" i="9"/>
  <c r="K33" i="9"/>
  <c r="L33" i="9"/>
  <c r="M33" i="9"/>
  <c r="N33" i="9"/>
  <c r="P33" i="9"/>
  <c r="C11" i="10"/>
  <c r="P41" i="9"/>
  <c r="C10" i="10"/>
  <c r="P23" i="9"/>
  <c r="C9" i="10"/>
  <c r="J25" i="10"/>
  <c r="I24" i="10"/>
  <c r="I13" i="10"/>
  <c r="H12" i="10"/>
  <c r="N33" i="7"/>
  <c r="P34" i="7"/>
  <c r="C35" i="9"/>
  <c r="C51" i="9"/>
  <c r="D52" i="9"/>
  <c r="D53" i="9"/>
  <c r="D82" i="9"/>
  <c r="N79" i="9"/>
  <c r="M79" i="9"/>
  <c r="L79" i="9"/>
  <c r="K79" i="9"/>
  <c r="J79" i="9"/>
  <c r="I79" i="9"/>
  <c r="H79" i="9"/>
  <c r="G79" i="9"/>
  <c r="F79" i="9"/>
  <c r="E79" i="9"/>
  <c r="D79" i="9"/>
  <c r="C79" i="9"/>
  <c r="C78" i="9"/>
  <c r="N77" i="9"/>
  <c r="N52" i="9"/>
  <c r="N63" i="9"/>
  <c r="M52" i="9"/>
  <c r="M63" i="9"/>
  <c r="D63" i="9"/>
  <c r="M24" i="9"/>
  <c r="M62" i="9"/>
  <c r="L24" i="9"/>
  <c r="L62" i="9"/>
  <c r="K24" i="9"/>
  <c r="K62" i="9"/>
  <c r="D54" i="9"/>
  <c r="N53" i="9"/>
  <c r="N54" i="9"/>
  <c r="M53" i="9"/>
  <c r="L52" i="9"/>
  <c r="L63" i="9"/>
  <c r="K52" i="9"/>
  <c r="K63" i="9"/>
  <c r="J52" i="9"/>
  <c r="J63" i="9"/>
  <c r="I52" i="9"/>
  <c r="I63" i="9"/>
  <c r="H52" i="9"/>
  <c r="H63" i="9"/>
  <c r="G52" i="9"/>
  <c r="F52" i="9"/>
  <c r="E52" i="9"/>
  <c r="M77" i="9"/>
  <c r="L77" i="9"/>
  <c r="E77" i="9"/>
  <c r="N32" i="9"/>
  <c r="P35" i="9"/>
  <c r="M32" i="9"/>
  <c r="N35" i="9"/>
  <c r="N78" i="9"/>
  <c r="L32" i="9"/>
  <c r="M35" i="9"/>
  <c r="M78" i="9"/>
  <c r="K32" i="9"/>
  <c r="K77" i="9"/>
  <c r="J32" i="9"/>
  <c r="K35" i="9"/>
  <c r="K78" i="9"/>
  <c r="I32" i="9"/>
  <c r="I77" i="9"/>
  <c r="H32" i="9"/>
  <c r="I35" i="9"/>
  <c r="I78" i="9"/>
  <c r="G32" i="9"/>
  <c r="H35" i="9"/>
  <c r="H78" i="9"/>
  <c r="F32" i="9"/>
  <c r="G35" i="9"/>
  <c r="G78" i="9"/>
  <c r="E32" i="9"/>
  <c r="F35" i="9"/>
  <c r="F78" i="9"/>
  <c r="D32" i="9"/>
  <c r="C32" i="9"/>
  <c r="M31" i="9"/>
  <c r="L31" i="9"/>
  <c r="K31" i="9"/>
  <c r="J31" i="9"/>
  <c r="I31" i="9"/>
  <c r="H31" i="9"/>
  <c r="G31" i="9"/>
  <c r="F31" i="9"/>
  <c r="E31" i="9"/>
  <c r="D31" i="9"/>
  <c r="C31" i="9"/>
  <c r="M25" i="9"/>
  <c r="L25" i="9"/>
  <c r="K25" i="9"/>
  <c r="J24" i="9"/>
  <c r="J25" i="9"/>
  <c r="E24" i="9"/>
  <c r="E25" i="9"/>
  <c r="D24" i="9"/>
  <c r="D25" i="9"/>
  <c r="C24" i="9"/>
  <c r="C25" i="9"/>
  <c r="N24" i="9"/>
  <c r="N25" i="9"/>
  <c r="M26" i="9"/>
  <c r="M80" i="9"/>
  <c r="L26" i="9"/>
  <c r="L80" i="9"/>
  <c r="K26" i="9"/>
  <c r="K80" i="9"/>
  <c r="J26" i="9"/>
  <c r="J80" i="9"/>
  <c r="I24" i="9"/>
  <c r="I62" i="9"/>
  <c r="H24" i="9"/>
  <c r="G24" i="9"/>
  <c r="F24" i="9"/>
  <c r="E26" i="9"/>
  <c r="E80" i="9"/>
  <c r="D62" i="9"/>
  <c r="C62" i="9"/>
  <c r="C34" i="7"/>
  <c r="C77" i="7"/>
  <c r="W162" i="12"/>
  <c r="M82" i="9"/>
  <c r="M54" i="9"/>
  <c r="J35" i="9"/>
  <c r="J78" i="9"/>
  <c r="N82" i="9"/>
  <c r="D26" i="9"/>
  <c r="D80" i="9"/>
  <c r="F77" i="9"/>
  <c r="I53" i="9"/>
  <c r="N26" i="9"/>
  <c r="N80" i="9"/>
  <c r="H77" i="9"/>
  <c r="J77" i="9"/>
  <c r="L53" i="9"/>
  <c r="E62" i="9"/>
  <c r="N62" i="9"/>
  <c r="L35" i="9"/>
  <c r="L78" i="9"/>
  <c r="C26" i="9"/>
  <c r="C80" i="9"/>
  <c r="G77" i="9"/>
  <c r="H53" i="9"/>
  <c r="H54" i="9"/>
  <c r="J53" i="9"/>
  <c r="J82" i="9"/>
  <c r="K53" i="9"/>
  <c r="K82" i="9"/>
  <c r="J62" i="9"/>
  <c r="F25" i="9"/>
  <c r="F62" i="9"/>
  <c r="F26" i="9"/>
  <c r="F80" i="9"/>
  <c r="G53" i="9"/>
  <c r="G63" i="9"/>
  <c r="H82" i="9"/>
  <c r="G62" i="9"/>
  <c r="G25" i="9"/>
  <c r="G26" i="9"/>
  <c r="G80" i="9"/>
  <c r="I82" i="9"/>
  <c r="I54" i="9"/>
  <c r="E53" i="9"/>
  <c r="E63" i="9"/>
  <c r="F63" i="9"/>
  <c r="F53" i="9"/>
  <c r="H62" i="9"/>
  <c r="H25" i="9"/>
  <c r="H26" i="9"/>
  <c r="H80" i="9"/>
  <c r="I25" i="9"/>
  <c r="I26" i="9"/>
  <c r="I80" i="9"/>
  <c r="D77" i="9"/>
  <c r="E35" i="9"/>
  <c r="E78" i="9"/>
  <c r="K54" i="9"/>
  <c r="J54" i="9"/>
  <c r="L54" i="9"/>
  <c r="L82" i="9"/>
  <c r="C77" i="9"/>
  <c r="D35" i="9"/>
  <c r="D78" i="9"/>
  <c r="F82" i="9"/>
  <c r="F54" i="9"/>
  <c r="G82" i="9"/>
  <c r="G54" i="9"/>
  <c r="E82" i="9"/>
  <c r="E54" i="9"/>
  <c r="C33" i="7"/>
  <c r="D33" i="7"/>
  <c r="E33" i="7"/>
  <c r="F33" i="7"/>
  <c r="G33" i="7"/>
  <c r="H33" i="7"/>
  <c r="I33" i="7"/>
  <c r="J33" i="7"/>
  <c r="K33" i="7"/>
  <c r="L33" i="7"/>
  <c r="M33" i="7"/>
  <c r="P33" i="7"/>
  <c r="C11" i="8"/>
  <c r="C32" i="7"/>
  <c r="D32" i="7"/>
  <c r="E32" i="7"/>
  <c r="F32" i="7"/>
  <c r="G32" i="7"/>
  <c r="H32" i="7"/>
  <c r="I32" i="7"/>
  <c r="J32" i="7"/>
  <c r="K32" i="7"/>
  <c r="L32" i="7"/>
  <c r="M32" i="7"/>
  <c r="N32" i="7"/>
  <c r="P32" i="7"/>
  <c r="C10" i="8"/>
  <c r="P23" i="7"/>
  <c r="C8" i="8"/>
  <c r="I12" i="8"/>
  <c r="H11" i="8"/>
  <c r="C9" i="8"/>
  <c r="D51" i="7"/>
  <c r="D52" i="7"/>
  <c r="D53" i="7"/>
  <c r="E51" i="7"/>
  <c r="E52" i="7"/>
  <c r="E53" i="7"/>
  <c r="F51" i="7"/>
  <c r="F52" i="7"/>
  <c r="F53" i="7"/>
  <c r="G51" i="7"/>
  <c r="G52" i="7"/>
  <c r="G53" i="7"/>
  <c r="I51" i="7"/>
  <c r="I52" i="7"/>
  <c r="I53" i="7"/>
  <c r="J51" i="7"/>
  <c r="J52" i="7"/>
  <c r="J53" i="7"/>
  <c r="K51" i="7"/>
  <c r="K52" i="7"/>
  <c r="K53" i="7"/>
  <c r="L51" i="7"/>
  <c r="L52" i="7"/>
  <c r="L53" i="7"/>
  <c r="M51" i="7"/>
  <c r="M52" i="7"/>
  <c r="M53" i="7"/>
  <c r="N51" i="7"/>
  <c r="N52" i="7"/>
  <c r="N53" i="7"/>
  <c r="H51" i="7"/>
  <c r="H62" i="7"/>
  <c r="G6" i="8"/>
  <c r="G5" i="8"/>
  <c r="N81" i="7"/>
  <c r="M81" i="7"/>
  <c r="L81" i="7"/>
  <c r="K81" i="7"/>
  <c r="J81" i="7"/>
  <c r="I81" i="7"/>
  <c r="G81" i="7"/>
  <c r="F81" i="7"/>
  <c r="E81" i="7"/>
  <c r="D81" i="7"/>
  <c r="N78" i="7"/>
  <c r="M78" i="7"/>
  <c r="L78" i="7"/>
  <c r="K78" i="7"/>
  <c r="J78" i="7"/>
  <c r="I78" i="7"/>
  <c r="H78" i="7"/>
  <c r="G78" i="7"/>
  <c r="F78" i="7"/>
  <c r="E78" i="7"/>
  <c r="D78" i="7"/>
  <c r="C78" i="7"/>
  <c r="N62" i="7"/>
  <c r="M62" i="7"/>
  <c r="L62" i="7"/>
  <c r="K62" i="7"/>
  <c r="J62" i="7"/>
  <c r="I62" i="7"/>
  <c r="G62" i="7"/>
  <c r="F62" i="7"/>
  <c r="E62" i="7"/>
  <c r="D62" i="7"/>
  <c r="P40" i="7"/>
  <c r="N31" i="7"/>
  <c r="M31" i="7"/>
  <c r="L31" i="7"/>
  <c r="K31" i="7"/>
  <c r="J31" i="7"/>
  <c r="I31" i="7"/>
  <c r="H31" i="7"/>
  <c r="G31" i="7"/>
  <c r="F31" i="7"/>
  <c r="E31" i="7"/>
  <c r="D31" i="7"/>
  <c r="C31" i="7"/>
  <c r="M30" i="7"/>
  <c r="L30" i="7"/>
  <c r="K30" i="7"/>
  <c r="J30" i="7"/>
  <c r="I30" i="7"/>
  <c r="H30" i="7"/>
  <c r="G30" i="7"/>
  <c r="F30" i="7"/>
  <c r="E30" i="7"/>
  <c r="D30" i="7"/>
  <c r="C30" i="7"/>
  <c r="N24" i="7"/>
  <c r="M24" i="7"/>
  <c r="L24" i="7"/>
  <c r="K24" i="7"/>
  <c r="J24" i="7"/>
  <c r="I24" i="7"/>
  <c r="H24" i="7"/>
  <c r="G24" i="7"/>
  <c r="F24" i="7"/>
  <c r="E24" i="7"/>
  <c r="D24" i="7"/>
  <c r="C24" i="7"/>
  <c r="C10" i="5"/>
  <c r="C12" i="5"/>
  <c r="K9" i="5"/>
  <c r="C61" i="7"/>
  <c r="C26" i="7"/>
  <c r="C79" i="7"/>
  <c r="C25" i="7"/>
  <c r="D61" i="7"/>
  <c r="D26" i="7"/>
  <c r="D79" i="7"/>
  <c r="D25" i="7"/>
  <c r="E61" i="7"/>
  <c r="E26" i="7"/>
  <c r="E79" i="7"/>
  <c r="E25" i="7"/>
  <c r="F61" i="7"/>
  <c r="F26" i="7"/>
  <c r="F79" i="7"/>
  <c r="F25" i="7"/>
  <c r="G61" i="7"/>
  <c r="G26" i="7"/>
  <c r="G79" i="7"/>
  <c r="G25" i="7"/>
  <c r="H61" i="7"/>
  <c r="H26" i="7"/>
  <c r="H79" i="7"/>
  <c r="H25" i="7"/>
  <c r="I61" i="7"/>
  <c r="I26" i="7"/>
  <c r="I79" i="7"/>
  <c r="I25" i="7"/>
  <c r="J61" i="7"/>
  <c r="J26" i="7"/>
  <c r="J79" i="7"/>
  <c r="J25" i="7"/>
  <c r="K61" i="7"/>
  <c r="K26" i="7"/>
  <c r="K79" i="7"/>
  <c r="K25" i="7"/>
  <c r="L61" i="7"/>
  <c r="L26" i="7"/>
  <c r="L79" i="7"/>
  <c r="L25" i="7"/>
  <c r="M61" i="7"/>
  <c r="M26" i="7"/>
  <c r="M79" i="7"/>
  <c r="M25" i="7"/>
  <c r="N61" i="7"/>
  <c r="N26" i="7"/>
  <c r="N79" i="7"/>
  <c r="N25" i="7"/>
  <c r="E34" i="7"/>
  <c r="E77" i="7"/>
  <c r="D76" i="7"/>
  <c r="F34" i="7"/>
  <c r="F77" i="7"/>
  <c r="E76" i="7"/>
  <c r="G34" i="7"/>
  <c r="G77" i="7"/>
  <c r="F76" i="7"/>
  <c r="H34" i="7"/>
  <c r="H77" i="7"/>
  <c r="G76" i="7"/>
  <c r="I34" i="7"/>
  <c r="I77" i="7"/>
  <c r="H76" i="7"/>
  <c r="J34" i="7"/>
  <c r="J77" i="7"/>
  <c r="I76" i="7"/>
  <c r="K34" i="7"/>
  <c r="K77" i="7"/>
  <c r="J76" i="7"/>
  <c r="L34" i="7"/>
  <c r="L77" i="7"/>
  <c r="K76" i="7"/>
  <c r="M34" i="7"/>
  <c r="M77" i="7"/>
  <c r="L76" i="7"/>
  <c r="N34" i="7"/>
  <c r="N77" i="7"/>
  <c r="M76" i="7"/>
  <c r="N76" i="7"/>
  <c r="C51" i="7"/>
  <c r="C62" i="7"/>
  <c r="C52" i="7"/>
  <c r="C76" i="7"/>
  <c r="D34" i="7"/>
  <c r="D77" i="7"/>
  <c r="C81" i="7"/>
  <c r="C53" i="7"/>
  <c r="I13" i="5"/>
  <c r="I7" i="5"/>
  <c r="C14" i="1"/>
  <c r="C7" i="1"/>
  <c r="G6" i="5"/>
  <c r="H12" i="5"/>
  <c r="K28" i="3"/>
  <c r="K5" i="3"/>
  <c r="N118" i="12"/>
  <c r="K6" i="3"/>
  <c r="K7" i="3"/>
  <c r="P115" i="6"/>
  <c r="N115" i="6"/>
  <c r="K8" i="3"/>
  <c r="K9" i="3"/>
  <c r="K10" i="3"/>
  <c r="K4" i="3"/>
  <c r="P27" i="6"/>
  <c r="U29" i="6"/>
  <c r="U27" i="6"/>
  <c r="U38" i="6"/>
  <c r="D16" i="3"/>
  <c r="E4" i="3"/>
  <c r="E5" i="3"/>
  <c r="E6" i="3"/>
  <c r="E7" i="3"/>
  <c r="E8" i="3"/>
  <c r="E9" i="3"/>
  <c r="P43" i="7"/>
  <c r="E10" i="3"/>
  <c r="P219" i="6"/>
  <c r="E11" i="3"/>
  <c r="E12" i="3"/>
  <c r="E3" i="3"/>
  <c r="G3" i="3"/>
  <c r="C4" i="3"/>
  <c r="D4" i="3"/>
  <c r="H6" i="1"/>
  <c r="H18" i="1"/>
  <c r="G12" i="1"/>
  <c r="I6" i="1"/>
  <c r="H12" i="1"/>
  <c r="K6" i="1"/>
  <c r="K12" i="1"/>
  <c r="K18" i="1" s="1"/>
  <c r="G6" i="1"/>
  <c r="G18" i="1" s="1"/>
  <c r="I18" i="1" s="1"/>
  <c r="I13" i="1"/>
  <c r="I12" i="1" s="1"/>
  <c r="P28" i="9"/>
  <c r="N28" i="9"/>
  <c r="P28" i="7"/>
  <c r="N28" i="7"/>
  <c r="W69" i="12"/>
  <c r="Y70" i="12"/>
  <c r="H8" i="5"/>
  <c r="F27" i="36"/>
  <c r="O36" i="36"/>
  <c r="P37" i="36"/>
  <c r="L38" i="36"/>
  <c r="M38" i="36"/>
  <c r="G22" i="11"/>
  <c r="C23" i="11"/>
  <c r="O9" i="11"/>
  <c r="K10" i="11"/>
  <c r="L9" i="11"/>
  <c r="N9" i="11"/>
  <c r="G23" i="11"/>
  <c r="C24" i="11"/>
  <c r="D23" i="11"/>
  <c r="F23" i="11"/>
  <c r="G8" i="11"/>
  <c r="C9" i="11"/>
  <c r="D8" i="11"/>
  <c r="F8" i="11"/>
  <c r="L8" i="11"/>
  <c r="N8" i="11"/>
  <c r="P44" i="24"/>
  <c r="P137" i="24"/>
  <c r="P133" i="12"/>
  <c r="P42" i="12"/>
  <c r="N7" i="11"/>
  <c r="P136" i="22"/>
  <c r="L4" i="3"/>
  <c r="J5" i="3"/>
  <c r="F4" i="3"/>
  <c r="W162" i="14"/>
  <c r="H43" i="7"/>
  <c r="M43" i="7"/>
  <c r="K43" i="7"/>
  <c r="N43" i="7"/>
  <c r="C43" i="7"/>
  <c r="D43" i="7"/>
  <c r="N203" i="6"/>
  <c r="P119" i="14"/>
  <c r="N205" i="6"/>
  <c r="P205" i="6"/>
  <c r="C51" i="6"/>
  <c r="C51" i="12"/>
  <c r="V29" i="6"/>
  <c r="U116" i="6"/>
  <c r="F3" i="3"/>
  <c r="G7" i="10"/>
  <c r="P50" i="14"/>
  <c r="W73" i="14"/>
  <c r="N211" i="14"/>
  <c r="P211" i="14"/>
  <c r="N209" i="14"/>
  <c r="K25" i="14"/>
  <c r="J152" i="14"/>
  <c r="E244" i="14"/>
  <c r="L116" i="14"/>
  <c r="I234" i="14"/>
  <c r="I235" i="14"/>
  <c r="N215" i="14"/>
  <c r="P216" i="14"/>
  <c r="I143" i="14"/>
  <c r="G172" i="14"/>
  <c r="H234" i="14"/>
  <c r="H263" i="14"/>
  <c r="J215" i="14"/>
  <c r="K216" i="14"/>
  <c r="K259" i="14"/>
  <c r="K225" i="14"/>
  <c r="E31" i="14"/>
  <c r="E76" i="14"/>
  <c r="G234" i="14"/>
  <c r="G263" i="14"/>
  <c r="G117" i="14"/>
  <c r="G170" i="14"/>
  <c r="D215" i="14"/>
  <c r="E216" i="14"/>
  <c r="E259" i="14"/>
  <c r="K26" i="14"/>
  <c r="K79" i="14"/>
  <c r="E152" i="14"/>
  <c r="H225" i="14"/>
  <c r="E225" i="14"/>
  <c r="I225" i="14"/>
  <c r="F225" i="14"/>
  <c r="J225" i="14"/>
  <c r="L225" i="14"/>
  <c r="M152" i="14"/>
  <c r="L207" i="14"/>
  <c r="L261" i="14"/>
  <c r="K207" i="14"/>
  <c r="K261" i="14"/>
  <c r="D152" i="14"/>
  <c r="L117" i="14"/>
  <c r="L170" i="14"/>
  <c r="K234" i="14"/>
  <c r="K235" i="14"/>
  <c r="G207" i="14"/>
  <c r="G261" i="14"/>
  <c r="L215" i="14"/>
  <c r="M216" i="14"/>
  <c r="M259" i="14"/>
  <c r="N152" i="14"/>
  <c r="H152" i="14"/>
  <c r="D225" i="14"/>
  <c r="M225" i="14"/>
  <c r="I116" i="14"/>
  <c r="J207" i="14"/>
  <c r="J261" i="14"/>
  <c r="F116" i="14"/>
  <c r="I207" i="14"/>
  <c r="I261" i="14"/>
  <c r="K32" i="14"/>
  <c r="L33" i="14"/>
  <c r="L77" i="14"/>
  <c r="D116" i="14"/>
  <c r="N243" i="14"/>
  <c r="H207" i="14"/>
  <c r="H261" i="14"/>
  <c r="G225" i="14"/>
  <c r="J234" i="14"/>
  <c r="J263" i="14"/>
  <c r="F207" i="14"/>
  <c r="F261" i="14"/>
  <c r="N225" i="14"/>
  <c r="E144" i="14"/>
  <c r="E172" i="14"/>
  <c r="M243" i="14"/>
  <c r="H243" i="14"/>
  <c r="F243" i="14"/>
  <c r="M244" i="14"/>
  <c r="M235" i="14"/>
  <c r="D206" i="14"/>
  <c r="L61" i="14"/>
  <c r="E153" i="14"/>
  <c r="L243" i="14"/>
  <c r="K243" i="14"/>
  <c r="I243" i="14"/>
  <c r="E25" i="14"/>
  <c r="D25" i="14"/>
  <c r="C243" i="14"/>
  <c r="N244" i="14"/>
  <c r="K214" i="14"/>
  <c r="K258" i="14"/>
  <c r="E116" i="14"/>
  <c r="J243" i="14"/>
  <c r="C152" i="14"/>
  <c r="M206" i="14"/>
  <c r="D243" i="14"/>
  <c r="D61" i="14"/>
  <c r="N235" i="14"/>
  <c r="M143" i="14"/>
  <c r="M172" i="14"/>
  <c r="F123" i="14"/>
  <c r="F167" i="14"/>
  <c r="E26" i="14"/>
  <c r="E79" i="14"/>
  <c r="E263" i="14"/>
  <c r="E235" i="14"/>
  <c r="N61" i="14"/>
  <c r="N25" i="14"/>
  <c r="F234" i="14"/>
  <c r="F244" i="14"/>
  <c r="D31" i="14"/>
  <c r="D76" i="14"/>
  <c r="D32" i="14"/>
  <c r="E33" i="14"/>
  <c r="E77" i="14"/>
  <c r="D144" i="14"/>
  <c r="D244" i="14"/>
  <c r="D234" i="14"/>
  <c r="L26" i="13"/>
  <c r="H25" i="14"/>
  <c r="L10" i="13"/>
  <c r="L28" i="13"/>
  <c r="C61" i="14"/>
  <c r="I263" i="14"/>
  <c r="C25" i="14"/>
  <c r="C143" i="14"/>
  <c r="C153" i="14"/>
  <c r="J143" i="14"/>
  <c r="J153" i="14"/>
  <c r="I32" i="14"/>
  <c r="J33" i="14"/>
  <c r="J77" i="14"/>
  <c r="K116" i="14"/>
  <c r="K152" i="14"/>
  <c r="C167" i="14"/>
  <c r="G116" i="14"/>
  <c r="L123" i="14"/>
  <c r="L167" i="14"/>
  <c r="L124" i="14"/>
  <c r="M125" i="14"/>
  <c r="M168" i="14"/>
  <c r="M32" i="14"/>
  <c r="N33" i="14"/>
  <c r="N77" i="14"/>
  <c r="L19" i="13"/>
  <c r="F25" i="14"/>
  <c r="F26" i="14"/>
  <c r="F79" i="14"/>
  <c r="F61" i="14"/>
  <c r="L17" i="13"/>
  <c r="M25" i="14"/>
  <c r="M26" i="14"/>
  <c r="M79" i="14"/>
  <c r="M61" i="14"/>
  <c r="I124" i="14"/>
  <c r="J125" i="14"/>
  <c r="J168" i="14"/>
  <c r="M215" i="14"/>
  <c r="N216" i="14"/>
  <c r="N259" i="14"/>
  <c r="H144" i="14"/>
  <c r="H172" i="14"/>
  <c r="C214" i="14"/>
  <c r="E243" i="14"/>
  <c r="E207" i="14"/>
  <c r="E261" i="14"/>
  <c r="L234" i="14"/>
  <c r="L244" i="14"/>
  <c r="G206" i="14"/>
  <c r="L8" i="13"/>
  <c r="P36" i="13"/>
  <c r="M36" i="13"/>
  <c r="G46" i="13"/>
  <c r="G42" i="13"/>
  <c r="F28" i="13"/>
  <c r="F23" i="13"/>
  <c r="O35" i="13"/>
  <c r="W161" i="12"/>
  <c r="T114" i="6"/>
  <c r="W161" i="14"/>
  <c r="V116" i="6"/>
  <c r="C52" i="6"/>
  <c r="C80" i="6"/>
  <c r="W160" i="12"/>
  <c r="E43" i="7"/>
  <c r="F43" i="7"/>
  <c r="J43" i="7"/>
  <c r="C262" i="12"/>
  <c r="C234" i="12"/>
  <c r="H142" i="12"/>
  <c r="P140" i="12"/>
  <c r="P51" i="9"/>
  <c r="G8" i="10"/>
  <c r="C52" i="9"/>
  <c r="C63" i="9"/>
  <c r="W252" i="12"/>
  <c r="L5" i="3"/>
  <c r="J6" i="3"/>
  <c r="L6" i="3"/>
  <c r="J7" i="3"/>
  <c r="L7" i="3"/>
  <c r="J8" i="3"/>
  <c r="L8" i="3"/>
  <c r="J9" i="3"/>
  <c r="L9" i="3"/>
  <c r="J10" i="3"/>
  <c r="L10" i="3"/>
  <c r="L28" i="3"/>
  <c r="J29" i="3"/>
  <c r="L29" i="3"/>
  <c r="J30" i="3"/>
  <c r="L30" i="3"/>
  <c r="J31" i="3"/>
  <c r="L31" i="3"/>
  <c r="J32" i="3"/>
  <c r="L32" i="3"/>
  <c r="J33" i="3"/>
  <c r="L33" i="3"/>
  <c r="J34" i="3"/>
  <c r="L34" i="3"/>
  <c r="N210" i="12"/>
  <c r="P30" i="9"/>
  <c r="N30" i="9"/>
  <c r="N31" i="9"/>
  <c r="P31" i="9"/>
  <c r="C13" i="10"/>
  <c r="H52" i="7"/>
  <c r="P50" i="7"/>
  <c r="K219" i="6"/>
  <c r="M219" i="6"/>
  <c r="D219" i="6"/>
  <c r="E219" i="6"/>
  <c r="L219" i="6"/>
  <c r="N219" i="6"/>
  <c r="F219" i="6"/>
  <c r="G219" i="6"/>
  <c r="H219" i="6"/>
  <c r="I219" i="6"/>
  <c r="J219" i="6"/>
  <c r="C219" i="6"/>
  <c r="H6" i="5"/>
  <c r="H17" i="5"/>
  <c r="P130" i="6"/>
  <c r="P42" i="6"/>
  <c r="P44" i="9"/>
  <c r="N117" i="6"/>
  <c r="P117" i="6"/>
  <c r="T99" i="6"/>
  <c r="N119" i="12"/>
  <c r="N120" i="12"/>
  <c r="P120" i="12"/>
  <c r="T167" i="12"/>
  <c r="P119" i="12"/>
  <c r="L43" i="7"/>
  <c r="N208" i="12"/>
  <c r="P118" i="12"/>
  <c r="N119" i="14"/>
  <c r="P28" i="14"/>
  <c r="N28" i="14"/>
  <c r="N29" i="14"/>
  <c r="P29" i="14"/>
  <c r="P28" i="12"/>
  <c r="N28" i="12"/>
  <c r="N29" i="12"/>
  <c r="P29" i="12"/>
  <c r="T76" i="12"/>
  <c r="G43" i="7"/>
  <c r="I43" i="7"/>
  <c r="N209" i="12"/>
  <c r="G4" i="3"/>
  <c r="C5" i="3"/>
  <c r="H8" i="16"/>
  <c r="N28" i="6"/>
  <c r="N29" i="6"/>
  <c r="P28" i="6"/>
  <c r="P232" i="14"/>
  <c r="C233" i="14"/>
  <c r="C52" i="14"/>
  <c r="T203" i="6"/>
  <c r="X71" i="12"/>
  <c r="I8" i="5"/>
  <c r="I6" i="5"/>
  <c r="H7" i="8"/>
  <c r="F139" i="6"/>
  <c r="F113" i="6"/>
  <c r="F166" i="6"/>
  <c r="F112" i="6"/>
  <c r="F148" i="6"/>
  <c r="E113" i="6"/>
  <c r="E166" i="6"/>
  <c r="E112" i="6"/>
  <c r="E148" i="6"/>
  <c r="D148" i="6"/>
  <c r="D112" i="6"/>
  <c r="G139" i="6"/>
  <c r="G149" i="6"/>
  <c r="L140" i="6"/>
  <c r="L168" i="6"/>
  <c r="K140" i="6"/>
  <c r="K168" i="6"/>
  <c r="J168" i="6"/>
  <c r="J140" i="6"/>
  <c r="L112" i="6"/>
  <c r="L148" i="6"/>
  <c r="L113" i="6"/>
  <c r="L166" i="6"/>
  <c r="K112" i="6"/>
  <c r="K148" i="6"/>
  <c r="H139" i="6"/>
  <c r="D168" i="6"/>
  <c r="D140" i="6"/>
  <c r="P119" i="6"/>
  <c r="T97" i="6" s="1"/>
  <c r="C163" i="6"/>
  <c r="M120" i="6"/>
  <c r="N121" i="6"/>
  <c r="N164" i="6"/>
  <c r="P120" i="6"/>
  <c r="T98" i="6" s="1"/>
  <c r="C164" i="6"/>
  <c r="D121" i="6"/>
  <c r="D164" i="6"/>
  <c r="C148" i="6"/>
  <c r="C112" i="6"/>
  <c r="C168" i="6"/>
  <c r="C140" i="6"/>
  <c r="N149" i="6"/>
  <c r="N139" i="6"/>
  <c r="M139" i="6"/>
  <c r="M149" i="6"/>
  <c r="O37" i="36"/>
  <c r="G27" i="36"/>
  <c r="P38" i="36"/>
  <c r="L39" i="36"/>
  <c r="M39" i="36"/>
  <c r="O38" i="36"/>
  <c r="M137" i="24"/>
  <c r="H44" i="24"/>
  <c r="AA80" i="24"/>
  <c r="I137" i="24"/>
  <c r="G44" i="24"/>
  <c r="M44" i="24"/>
  <c r="D44" i="24"/>
  <c r="F137" i="24"/>
  <c r="C44" i="24"/>
  <c r="E137" i="24"/>
  <c r="H137" i="24"/>
  <c r="J137" i="24"/>
  <c r="N137" i="24"/>
  <c r="L44" i="24"/>
  <c r="K137" i="24"/>
  <c r="G137" i="24"/>
  <c r="C137" i="24"/>
  <c r="K44" i="24"/>
  <c r="N44" i="24"/>
  <c r="D137" i="24"/>
  <c r="L137" i="24"/>
  <c r="J44" i="24"/>
  <c r="I44" i="24"/>
  <c r="F44" i="24"/>
  <c r="E44" i="24"/>
  <c r="G9" i="11"/>
  <c r="C10" i="11"/>
  <c r="D9" i="11"/>
  <c r="F9" i="11"/>
  <c r="G24" i="11"/>
  <c r="C25" i="11"/>
  <c r="D24" i="11"/>
  <c r="F24" i="11"/>
  <c r="J133" i="12"/>
  <c r="M133" i="12"/>
  <c r="E133" i="12"/>
  <c r="N42" i="12"/>
  <c r="D133" i="12"/>
  <c r="L133" i="12"/>
  <c r="L42" i="12"/>
  <c r="G42" i="12"/>
  <c r="J42" i="12"/>
  <c r="D42" i="12"/>
  <c r="H42" i="12"/>
  <c r="N133" i="12"/>
  <c r="H133" i="12"/>
  <c r="G133" i="12"/>
  <c r="F133" i="12"/>
  <c r="C133" i="12"/>
  <c r="I133" i="12"/>
  <c r="M42" i="12"/>
  <c r="C42" i="12"/>
  <c r="K133" i="12"/>
  <c r="F42" i="12"/>
  <c r="I42" i="12"/>
  <c r="E42" i="12"/>
  <c r="K42" i="12"/>
  <c r="L10" i="11"/>
  <c r="N10" i="11"/>
  <c r="O10" i="11"/>
  <c r="K11" i="11"/>
  <c r="U205" i="6"/>
  <c r="P209" i="14"/>
  <c r="N212" i="14"/>
  <c r="P212" i="14"/>
  <c r="T259" i="14"/>
  <c r="G6" i="10"/>
  <c r="N211" i="12"/>
  <c r="P211" i="12"/>
  <c r="T258" i="12"/>
  <c r="P203" i="6"/>
  <c r="N206" i="6"/>
  <c r="P206" i="6"/>
  <c r="T187" i="6"/>
  <c r="W253" i="14"/>
  <c r="V205" i="6"/>
  <c r="C52" i="12"/>
  <c r="C80" i="12"/>
  <c r="H130" i="6"/>
  <c r="I130" i="6"/>
  <c r="J130" i="6"/>
  <c r="K130" i="6"/>
  <c r="L130" i="6"/>
  <c r="M130" i="6"/>
  <c r="N130" i="6"/>
  <c r="C130" i="6"/>
  <c r="D130" i="6"/>
  <c r="E130" i="6"/>
  <c r="F130" i="6"/>
  <c r="G130" i="6"/>
  <c r="I144" i="14"/>
  <c r="I172" i="14"/>
  <c r="M144" i="14"/>
  <c r="H235" i="14"/>
  <c r="G235" i="14"/>
  <c r="J235" i="14"/>
  <c r="K263" i="14"/>
  <c r="P31" i="14"/>
  <c r="T76" i="14"/>
  <c r="C144" i="14"/>
  <c r="C172" i="14"/>
  <c r="D263" i="14"/>
  <c r="D235" i="14"/>
  <c r="P124" i="14"/>
  <c r="T167" i="14"/>
  <c r="P32" i="14"/>
  <c r="T77" i="14"/>
  <c r="P123" i="14"/>
  <c r="T166" i="14"/>
  <c r="L263" i="14"/>
  <c r="L235" i="14"/>
  <c r="F263" i="14"/>
  <c r="F235" i="14"/>
  <c r="P214" i="14"/>
  <c r="T257" i="14"/>
  <c r="C258" i="14"/>
  <c r="P42" i="13"/>
  <c r="N42" i="13"/>
  <c r="O42" i="13"/>
  <c r="P215" i="14"/>
  <c r="T258" i="14"/>
  <c r="J172" i="14"/>
  <c r="J144" i="14"/>
  <c r="O36" i="13"/>
  <c r="G28" i="13"/>
  <c r="G23" i="13"/>
  <c r="H143" i="12"/>
  <c r="H171" i="12"/>
  <c r="I8" i="16"/>
  <c r="I6" i="16"/>
  <c r="H6" i="16"/>
  <c r="H17" i="16"/>
  <c r="D5" i="3"/>
  <c r="F5" i="3"/>
  <c r="G5" i="3"/>
  <c r="C6" i="3"/>
  <c r="W251" i="12"/>
  <c r="C81" i="14"/>
  <c r="C53" i="14"/>
  <c r="W253" i="12"/>
  <c r="W254" i="14"/>
  <c r="C53" i="9"/>
  <c r="T78" i="14"/>
  <c r="H53" i="7"/>
  <c r="H81" i="7"/>
  <c r="H6" i="8"/>
  <c r="N30" i="7"/>
  <c r="N121" i="14"/>
  <c r="P121" i="14"/>
  <c r="T168" i="14"/>
  <c r="L44" i="9"/>
  <c r="E44" i="9"/>
  <c r="M44" i="9"/>
  <c r="C44" i="9"/>
  <c r="G44" i="9"/>
  <c r="H44" i="9"/>
  <c r="I44" i="9"/>
  <c r="J44" i="9"/>
  <c r="N44" i="9"/>
  <c r="F44" i="9"/>
  <c r="K44" i="9"/>
  <c r="D44" i="9"/>
  <c r="C234" i="14"/>
  <c r="C244" i="14"/>
  <c r="N42" i="6"/>
  <c r="F42" i="6"/>
  <c r="M42" i="6"/>
  <c r="C42" i="6"/>
  <c r="G42" i="6"/>
  <c r="D42" i="6"/>
  <c r="H42" i="6"/>
  <c r="I42" i="6"/>
  <c r="K42" i="6"/>
  <c r="E42" i="6"/>
  <c r="L42" i="6"/>
  <c r="J42" i="6"/>
  <c r="C13" i="16"/>
  <c r="T12" i="6"/>
  <c r="C13" i="5"/>
  <c r="H8" i="10"/>
  <c r="X162" i="12"/>
  <c r="I7" i="8"/>
  <c r="Y71" i="12"/>
  <c r="Y69" i="12"/>
  <c r="X69" i="12"/>
  <c r="X80" i="12"/>
  <c r="N140" i="6"/>
  <c r="N168" i="6"/>
  <c r="F168" i="6"/>
  <c r="F140" i="6"/>
  <c r="H140" i="6"/>
  <c r="H168" i="6"/>
  <c r="G168" i="6"/>
  <c r="G140" i="6"/>
  <c r="M140" i="6"/>
  <c r="M168" i="6"/>
  <c r="O39" i="36"/>
  <c r="P39" i="36"/>
  <c r="L40" i="36"/>
  <c r="M40" i="36"/>
  <c r="AA171" i="32"/>
  <c r="D25" i="11"/>
  <c r="F25" i="11"/>
  <c r="G25" i="11"/>
  <c r="C26" i="11"/>
  <c r="O11" i="11"/>
  <c r="K12" i="11"/>
  <c r="L11" i="11"/>
  <c r="N11" i="11"/>
  <c r="D10" i="11"/>
  <c r="F10" i="11"/>
  <c r="G10" i="11"/>
  <c r="C11" i="11"/>
  <c r="W252" i="14"/>
  <c r="L27" i="13"/>
  <c r="L42" i="13"/>
  <c r="M42" i="13"/>
  <c r="L9" i="13"/>
  <c r="L18" i="13"/>
  <c r="H7" i="10"/>
  <c r="X161" i="12"/>
  <c r="Y161" i="12"/>
  <c r="I6" i="8"/>
  <c r="I5" i="8"/>
  <c r="C235" i="14"/>
  <c r="C263" i="14"/>
  <c r="D6" i="3"/>
  <c r="F6" i="3"/>
  <c r="G6" i="3"/>
  <c r="C7" i="3"/>
  <c r="H5" i="8"/>
  <c r="H16" i="8"/>
  <c r="C54" i="9"/>
  <c r="C82" i="9"/>
  <c r="C12" i="8"/>
  <c r="P30" i="7"/>
  <c r="X253" i="12"/>
  <c r="I8" i="10"/>
  <c r="Y162" i="12"/>
  <c r="Y160" i="12"/>
  <c r="O40" i="36"/>
  <c r="P40" i="36"/>
  <c r="L41" i="36"/>
  <c r="M41" i="36"/>
  <c r="AA262" i="32"/>
  <c r="L12" i="11"/>
  <c r="O12" i="11"/>
  <c r="K13" i="11"/>
  <c r="G26" i="11"/>
  <c r="C27" i="11"/>
  <c r="D26" i="11"/>
  <c r="G11" i="11"/>
  <c r="C12" i="11"/>
  <c r="D11" i="11"/>
  <c r="F11" i="11"/>
  <c r="H6" i="10"/>
  <c r="H17" i="10"/>
  <c r="X160" i="12"/>
  <c r="X171" i="12"/>
  <c r="G7" i="3"/>
  <c r="C8" i="3"/>
  <c r="D7" i="3"/>
  <c r="F7" i="3"/>
  <c r="X252" i="12"/>
  <c r="Y252" i="12"/>
  <c r="I7" i="10"/>
  <c r="I6" i="10"/>
  <c r="Y253" i="12"/>
  <c r="P41" i="36"/>
  <c r="L42" i="36"/>
  <c r="M42" i="36"/>
  <c r="O41" i="36"/>
  <c r="P43" i="24"/>
  <c r="P41" i="12"/>
  <c r="F26" i="11"/>
  <c r="D27" i="11"/>
  <c r="G27" i="11"/>
  <c r="C28" i="11"/>
  <c r="L13" i="11"/>
  <c r="N13" i="11"/>
  <c r="O13" i="11"/>
  <c r="K14" i="11"/>
  <c r="D12" i="11"/>
  <c r="G12" i="11"/>
  <c r="C13" i="11"/>
  <c r="N12" i="11"/>
  <c r="X251" i="12"/>
  <c r="X262" i="12"/>
  <c r="Y251" i="12"/>
  <c r="D8" i="3"/>
  <c r="F8" i="3"/>
  <c r="G8" i="3"/>
  <c r="C9" i="3"/>
  <c r="O42" i="36"/>
  <c r="P42" i="36"/>
  <c r="G13" i="11"/>
  <c r="C14" i="11"/>
  <c r="D13" i="11"/>
  <c r="P42" i="26"/>
  <c r="G28" i="11"/>
  <c r="C29" i="11"/>
  <c r="D28" i="11"/>
  <c r="F28" i="11"/>
  <c r="P136" i="24"/>
  <c r="P132" i="12"/>
  <c r="T171" i="12"/>
  <c r="T172" i="12"/>
  <c r="T173" i="12"/>
  <c r="F27" i="11"/>
  <c r="F12" i="11"/>
  <c r="O14" i="11"/>
  <c r="K15" i="11"/>
  <c r="L14" i="11"/>
  <c r="N14" i="11"/>
  <c r="N41" i="12"/>
  <c r="N43" i="12"/>
  <c r="N79" i="12"/>
  <c r="E41" i="12"/>
  <c r="E43" i="12"/>
  <c r="E79" i="12"/>
  <c r="K132" i="12"/>
  <c r="K134" i="12"/>
  <c r="K170" i="12"/>
  <c r="C41" i="12"/>
  <c r="C43" i="12"/>
  <c r="C79" i="12"/>
  <c r="D132" i="12"/>
  <c r="D134" i="12"/>
  <c r="D170" i="12"/>
  <c r="D41" i="12"/>
  <c r="D43" i="12"/>
  <c r="D79" i="12"/>
  <c r="L41" i="12"/>
  <c r="L43" i="12"/>
  <c r="L79" i="12"/>
  <c r="F132" i="12"/>
  <c r="F134" i="12"/>
  <c r="F170" i="12"/>
  <c r="H41" i="12"/>
  <c r="H43" i="12"/>
  <c r="H79" i="12"/>
  <c r="C132" i="12"/>
  <c r="C134" i="12"/>
  <c r="C170" i="12"/>
  <c r="E132" i="12"/>
  <c r="E134" i="12"/>
  <c r="E170" i="12"/>
  <c r="K41" i="12"/>
  <c r="K43" i="12"/>
  <c r="K79" i="12"/>
  <c r="I41" i="12"/>
  <c r="I43" i="12"/>
  <c r="I79" i="12"/>
  <c r="J41" i="12"/>
  <c r="J43" i="12"/>
  <c r="J79" i="12"/>
  <c r="G41" i="12"/>
  <c r="G43" i="12"/>
  <c r="G79" i="12"/>
  <c r="J132" i="12"/>
  <c r="J134" i="12"/>
  <c r="J170" i="12"/>
  <c r="N132" i="12"/>
  <c r="N134" i="12"/>
  <c r="N170" i="12"/>
  <c r="I132" i="12"/>
  <c r="I134" i="12"/>
  <c r="I170" i="12"/>
  <c r="H132" i="12"/>
  <c r="H134" i="12"/>
  <c r="H170" i="12"/>
  <c r="M41" i="12"/>
  <c r="M43" i="12"/>
  <c r="M79" i="12"/>
  <c r="G132" i="12"/>
  <c r="G134" i="12"/>
  <c r="G170" i="12"/>
  <c r="M132" i="12"/>
  <c r="M134" i="12"/>
  <c r="M170" i="12"/>
  <c r="F41" i="12"/>
  <c r="F43" i="12"/>
  <c r="F79" i="12"/>
  <c r="L132" i="12"/>
  <c r="L134" i="12"/>
  <c r="L170" i="12"/>
  <c r="F43" i="24"/>
  <c r="F46" i="24"/>
  <c r="F82" i="24"/>
  <c r="N43" i="24"/>
  <c r="N46" i="24"/>
  <c r="N82" i="24"/>
  <c r="M43" i="24"/>
  <c r="M46" i="24"/>
  <c r="M82" i="24"/>
  <c r="L43" i="24"/>
  <c r="L46" i="24"/>
  <c r="L82" i="24"/>
  <c r="K43" i="24"/>
  <c r="K46" i="24"/>
  <c r="K82" i="24"/>
  <c r="E43" i="24"/>
  <c r="E46" i="24"/>
  <c r="E82" i="24"/>
  <c r="J43" i="24"/>
  <c r="J46" i="24"/>
  <c r="J82" i="24"/>
  <c r="G43" i="24"/>
  <c r="G46" i="24"/>
  <c r="G82" i="24"/>
  <c r="T84" i="24"/>
  <c r="T85" i="24"/>
  <c r="T86" i="24"/>
  <c r="H43" i="24"/>
  <c r="H46" i="24"/>
  <c r="H82" i="24"/>
  <c r="C43" i="24"/>
  <c r="C46" i="24"/>
  <c r="C82" i="24"/>
  <c r="I43" i="24"/>
  <c r="I46" i="24"/>
  <c r="I82" i="24"/>
  <c r="D43" i="24"/>
  <c r="D46" i="24"/>
  <c r="D82" i="24"/>
  <c r="G9" i="3"/>
  <c r="D9" i="3"/>
  <c r="T84" i="26"/>
  <c r="T85" i="26"/>
  <c r="T86" i="26"/>
  <c r="M42" i="26"/>
  <c r="M45" i="26"/>
  <c r="M81" i="26"/>
  <c r="N42" i="26"/>
  <c r="N45" i="26"/>
  <c r="N81" i="26"/>
  <c r="F42" i="26"/>
  <c r="F45" i="26"/>
  <c r="F81" i="26"/>
  <c r="G42" i="26"/>
  <c r="G45" i="26"/>
  <c r="G81" i="26"/>
  <c r="H42" i="26"/>
  <c r="H45" i="26"/>
  <c r="H81" i="26"/>
  <c r="I42" i="26"/>
  <c r="I45" i="26"/>
  <c r="I81" i="26"/>
  <c r="J42" i="26"/>
  <c r="J45" i="26"/>
  <c r="J81" i="26"/>
  <c r="K42" i="26"/>
  <c r="K45" i="26"/>
  <c r="K81" i="26"/>
  <c r="L42" i="26"/>
  <c r="L45" i="26"/>
  <c r="L81" i="26"/>
  <c r="C42" i="26"/>
  <c r="C45" i="26"/>
  <c r="C81" i="26"/>
  <c r="D42" i="26"/>
  <c r="D45" i="26"/>
  <c r="D81" i="26"/>
  <c r="E42" i="26"/>
  <c r="E45" i="26"/>
  <c r="E81" i="26"/>
  <c r="O15" i="11"/>
  <c r="K16" i="11"/>
  <c r="L15" i="11"/>
  <c r="N15" i="11"/>
  <c r="D14" i="11"/>
  <c r="G14" i="11"/>
  <c r="C15" i="11"/>
  <c r="C136" i="24"/>
  <c r="C138" i="24"/>
  <c r="C174" i="24"/>
  <c r="N136" i="24"/>
  <c r="N138" i="24"/>
  <c r="N174" i="24"/>
  <c r="M136" i="24"/>
  <c r="M138" i="24"/>
  <c r="M174" i="24"/>
  <c r="T177" i="24"/>
  <c r="T178" i="24"/>
  <c r="T179" i="24"/>
  <c r="L136" i="24"/>
  <c r="L138" i="24"/>
  <c r="L174" i="24"/>
  <c r="H136" i="24"/>
  <c r="H138" i="24"/>
  <c r="H174" i="24"/>
  <c r="J136" i="24"/>
  <c r="J138" i="24"/>
  <c r="J174" i="24"/>
  <c r="D136" i="24"/>
  <c r="D138" i="24"/>
  <c r="D174" i="24"/>
  <c r="E136" i="24"/>
  <c r="E138" i="24"/>
  <c r="E174" i="24"/>
  <c r="K136" i="24"/>
  <c r="K138" i="24"/>
  <c r="K174" i="24"/>
  <c r="F136" i="24"/>
  <c r="F138" i="24"/>
  <c r="F174" i="24"/>
  <c r="G136" i="24"/>
  <c r="G138" i="24"/>
  <c r="G174" i="24"/>
  <c r="I136" i="24"/>
  <c r="I138" i="24"/>
  <c r="I174" i="24"/>
  <c r="D29" i="11"/>
  <c r="F29" i="11"/>
  <c r="G29" i="11"/>
  <c r="P41" i="14"/>
  <c r="F13" i="11"/>
  <c r="P41" i="6"/>
  <c r="F9" i="3"/>
  <c r="C10" i="3"/>
  <c r="X34" i="6"/>
  <c r="K13" i="5"/>
  <c r="C135" i="26"/>
  <c r="D135" i="26"/>
  <c r="D137" i="26"/>
  <c r="D173" i="26"/>
  <c r="E135" i="26"/>
  <c r="E137" i="26"/>
  <c r="E173" i="26"/>
  <c r="F135" i="26"/>
  <c r="F137" i="26"/>
  <c r="F173" i="26"/>
  <c r="M135" i="26"/>
  <c r="M137" i="26"/>
  <c r="M173" i="26"/>
  <c r="G135" i="26"/>
  <c r="G137" i="26"/>
  <c r="G173" i="26"/>
  <c r="I135" i="26"/>
  <c r="I137" i="26"/>
  <c r="I173" i="26"/>
  <c r="J135" i="26"/>
  <c r="J137" i="26"/>
  <c r="J173" i="26"/>
  <c r="N135" i="26"/>
  <c r="N137" i="26"/>
  <c r="N173" i="26"/>
  <c r="H135" i="26"/>
  <c r="H137" i="26"/>
  <c r="H173" i="26"/>
  <c r="K135" i="26"/>
  <c r="K137" i="26"/>
  <c r="K173" i="26"/>
  <c r="L135" i="26"/>
  <c r="L137" i="26"/>
  <c r="L173" i="26"/>
  <c r="C41" i="14"/>
  <c r="C44" i="14"/>
  <c r="C80" i="14"/>
  <c r="D41" i="14"/>
  <c r="D44" i="14"/>
  <c r="D80" i="14"/>
  <c r="K41" i="14"/>
  <c r="K44" i="14"/>
  <c r="K80" i="14"/>
  <c r="H41" i="14"/>
  <c r="H44" i="14"/>
  <c r="H80" i="14"/>
  <c r="E41" i="14"/>
  <c r="E44" i="14"/>
  <c r="E80" i="14"/>
  <c r="J41" i="14"/>
  <c r="J44" i="14"/>
  <c r="J80" i="14"/>
  <c r="L41" i="14"/>
  <c r="L44" i="14"/>
  <c r="L80" i="14"/>
  <c r="M41" i="14"/>
  <c r="M44" i="14"/>
  <c r="M80" i="14"/>
  <c r="G41" i="14"/>
  <c r="G44" i="14"/>
  <c r="G80" i="14"/>
  <c r="I41" i="14"/>
  <c r="I44" i="14"/>
  <c r="I80" i="14"/>
  <c r="N41" i="14"/>
  <c r="N44" i="14"/>
  <c r="N80" i="14"/>
  <c r="F41" i="14"/>
  <c r="F44" i="14"/>
  <c r="F80" i="14"/>
  <c r="D15" i="11"/>
  <c r="G15" i="11"/>
  <c r="C16" i="11"/>
  <c r="C133" i="14"/>
  <c r="D133" i="14"/>
  <c r="D135" i="14"/>
  <c r="D171" i="14"/>
  <c r="E133" i="14"/>
  <c r="E135" i="14"/>
  <c r="E171" i="14"/>
  <c r="F133" i="14"/>
  <c r="F135" i="14"/>
  <c r="F171" i="14"/>
  <c r="G133" i="14"/>
  <c r="G135" i="14"/>
  <c r="G171" i="14"/>
  <c r="H133" i="14"/>
  <c r="H135" i="14"/>
  <c r="H171" i="14"/>
  <c r="I133" i="14"/>
  <c r="I135" i="14"/>
  <c r="I171" i="14"/>
  <c r="J133" i="14"/>
  <c r="J135" i="14"/>
  <c r="J171" i="14"/>
  <c r="K133" i="14"/>
  <c r="K135" i="14"/>
  <c r="K171" i="14"/>
  <c r="AE27" i="11"/>
  <c r="L133" i="14"/>
  <c r="L135" i="14"/>
  <c r="L171" i="14"/>
  <c r="M133" i="14"/>
  <c r="M135" i="14"/>
  <c r="M171" i="14"/>
  <c r="N133" i="14"/>
  <c r="N135" i="14"/>
  <c r="N171" i="14"/>
  <c r="F14" i="11"/>
  <c r="O16" i="11"/>
  <c r="L16" i="11"/>
  <c r="G10" i="3"/>
  <c r="D10" i="3"/>
  <c r="T16" i="6"/>
  <c r="T17" i="6"/>
  <c r="T18" i="6"/>
  <c r="E41" i="6"/>
  <c r="E43" i="6"/>
  <c r="E79" i="6"/>
  <c r="C17" i="5"/>
  <c r="C18" i="5"/>
  <c r="C19" i="5"/>
  <c r="K41" i="6"/>
  <c r="K43" i="6"/>
  <c r="K79" i="6"/>
  <c r="G41" i="6"/>
  <c r="G43" i="6"/>
  <c r="G79" i="6"/>
  <c r="I41" i="6"/>
  <c r="I43" i="6"/>
  <c r="I79" i="6"/>
  <c r="M41" i="6"/>
  <c r="M43" i="6"/>
  <c r="M79" i="6"/>
  <c r="L41" i="6"/>
  <c r="L43" i="6"/>
  <c r="L79" i="6"/>
  <c r="F41" i="6"/>
  <c r="F43" i="6"/>
  <c r="F79" i="6"/>
  <c r="H41" i="6"/>
  <c r="H43" i="6"/>
  <c r="H79" i="6"/>
  <c r="N41" i="6"/>
  <c r="N43" i="6"/>
  <c r="N79" i="6"/>
  <c r="D41" i="6"/>
  <c r="D43" i="6"/>
  <c r="D79" i="6"/>
  <c r="C41" i="6"/>
  <c r="C43" i="6"/>
  <c r="C79" i="6"/>
  <c r="J41" i="6"/>
  <c r="J43" i="6"/>
  <c r="J79" i="6"/>
  <c r="C17" i="16"/>
  <c r="C18" i="16"/>
  <c r="C19" i="16"/>
  <c r="C227" i="26"/>
  <c r="C229" i="26"/>
  <c r="C265" i="26"/>
  <c r="D227" i="26"/>
  <c r="D229" i="26"/>
  <c r="D265" i="26"/>
  <c r="K227" i="26"/>
  <c r="K229" i="26"/>
  <c r="K265" i="26"/>
  <c r="N227" i="26"/>
  <c r="N229" i="26"/>
  <c r="N265" i="26"/>
  <c r="E227" i="26"/>
  <c r="E229" i="26"/>
  <c r="E265" i="26"/>
  <c r="G227" i="26"/>
  <c r="G229" i="26"/>
  <c r="G265" i="26"/>
  <c r="H227" i="26"/>
  <c r="H229" i="26"/>
  <c r="H265" i="26"/>
  <c r="M227" i="26"/>
  <c r="M229" i="26"/>
  <c r="M265" i="26"/>
  <c r="P227" i="26"/>
  <c r="T272" i="26"/>
  <c r="T273" i="26"/>
  <c r="T274" i="26"/>
  <c r="F227" i="26"/>
  <c r="F229" i="26"/>
  <c r="F265" i="26"/>
  <c r="I227" i="26"/>
  <c r="I229" i="26"/>
  <c r="I265" i="26"/>
  <c r="J227" i="26"/>
  <c r="J229" i="26"/>
  <c r="J265" i="26"/>
  <c r="L227" i="26"/>
  <c r="L229" i="26"/>
  <c r="L265" i="26"/>
  <c r="P135" i="26"/>
  <c r="T177" i="26"/>
  <c r="T178" i="26"/>
  <c r="T179" i="26"/>
  <c r="C137" i="26"/>
  <c r="C173" i="26"/>
  <c r="N16" i="11"/>
  <c r="L17" i="11"/>
  <c r="G16" i="11"/>
  <c r="D16" i="11"/>
  <c r="F16" i="11"/>
  <c r="T83" i="14"/>
  <c r="T84" i="14"/>
  <c r="L40" i="13"/>
  <c r="G224" i="14"/>
  <c r="G226" i="14"/>
  <c r="G262" i="14"/>
  <c r="H224" i="14"/>
  <c r="H226" i="14"/>
  <c r="H262" i="14"/>
  <c r="I224" i="14"/>
  <c r="I226" i="14"/>
  <c r="I262" i="14"/>
  <c r="J224" i="14"/>
  <c r="J226" i="14"/>
  <c r="J262" i="14"/>
  <c r="K224" i="14"/>
  <c r="K226" i="14"/>
  <c r="K262" i="14"/>
  <c r="L224" i="14"/>
  <c r="L226" i="14"/>
  <c r="L262" i="14"/>
  <c r="M224" i="14"/>
  <c r="M226" i="14"/>
  <c r="M262" i="14"/>
  <c r="D224" i="14"/>
  <c r="D226" i="14"/>
  <c r="D262" i="14"/>
  <c r="E224" i="14"/>
  <c r="E226" i="14"/>
  <c r="E262" i="14"/>
  <c r="F224" i="14"/>
  <c r="F226" i="14"/>
  <c r="F262" i="14"/>
  <c r="N224" i="14"/>
  <c r="N226" i="14"/>
  <c r="N262" i="14"/>
  <c r="C224" i="14"/>
  <c r="C226" i="14"/>
  <c r="C262" i="14"/>
  <c r="F15" i="11"/>
  <c r="P224" i="14"/>
  <c r="D17" i="11"/>
  <c r="P133" i="14"/>
  <c r="C135" i="14"/>
  <c r="C171" i="14"/>
  <c r="P129" i="6"/>
  <c r="P42" i="7"/>
  <c r="F10" i="3"/>
  <c r="X121" i="6"/>
  <c r="C11" i="3"/>
  <c r="O40" i="13"/>
  <c r="T264" i="14"/>
  <c r="T265" i="14"/>
  <c r="P40" i="13"/>
  <c r="N40" i="13"/>
  <c r="M40" i="13"/>
  <c r="T173" i="14"/>
  <c r="T174" i="14"/>
  <c r="T103" i="6"/>
  <c r="T104" i="6"/>
  <c r="T105" i="6"/>
  <c r="E129" i="6"/>
  <c r="E131" i="6"/>
  <c r="E167" i="6"/>
  <c r="F129" i="6"/>
  <c r="F131" i="6"/>
  <c r="F167" i="6"/>
  <c r="G129" i="6"/>
  <c r="G131" i="6"/>
  <c r="G167" i="6"/>
  <c r="H129" i="6"/>
  <c r="H131" i="6"/>
  <c r="H167" i="6"/>
  <c r="I129" i="6"/>
  <c r="I131" i="6"/>
  <c r="I167" i="6"/>
  <c r="J129" i="6"/>
  <c r="J131" i="6"/>
  <c r="J167" i="6"/>
  <c r="K129" i="6"/>
  <c r="K131" i="6"/>
  <c r="K167" i="6"/>
  <c r="L129" i="6"/>
  <c r="L131" i="6" s="1"/>
  <c r="L167" i="6"/>
  <c r="M129" i="6"/>
  <c r="M131" i="6"/>
  <c r="M167" i="6"/>
  <c r="N129" i="6"/>
  <c r="N131" i="6"/>
  <c r="N167" i="6"/>
  <c r="C129" i="6"/>
  <c r="C131" i="6"/>
  <c r="C167" i="6"/>
  <c r="D129" i="6"/>
  <c r="D131" i="6"/>
  <c r="D167" i="6"/>
  <c r="D42" i="7"/>
  <c r="D44" i="7"/>
  <c r="D80" i="7"/>
  <c r="M42" i="7"/>
  <c r="M44" i="7"/>
  <c r="M80" i="7"/>
  <c r="H42" i="7"/>
  <c r="H44" i="7"/>
  <c r="H80" i="7"/>
  <c r="C16" i="8"/>
  <c r="C17" i="8"/>
  <c r="C18" i="8"/>
  <c r="F42" i="7"/>
  <c r="F44" i="7"/>
  <c r="F80" i="7"/>
  <c r="E42" i="7"/>
  <c r="E44" i="7"/>
  <c r="E80" i="7"/>
  <c r="C42" i="7"/>
  <c r="C44" i="7"/>
  <c r="C80" i="7"/>
  <c r="G42" i="7"/>
  <c r="G44" i="7"/>
  <c r="G80" i="7"/>
  <c r="J42" i="7"/>
  <c r="J44" i="7"/>
  <c r="J80" i="7"/>
  <c r="N42" i="7"/>
  <c r="N44" i="7"/>
  <c r="N80" i="7"/>
  <c r="I42" i="7"/>
  <c r="I44" i="7"/>
  <c r="I80" i="7"/>
  <c r="L42" i="7"/>
  <c r="L44" i="7"/>
  <c r="L80" i="7"/>
  <c r="K42" i="7"/>
  <c r="K44" i="7"/>
  <c r="K80" i="7"/>
  <c r="K12" i="8"/>
  <c r="G11" i="3"/>
  <c r="D11" i="3"/>
  <c r="P218" i="6"/>
  <c r="C218" i="6"/>
  <c r="C220" i="6"/>
  <c r="C256" i="6"/>
  <c r="F218" i="6"/>
  <c r="F220" i="6"/>
  <c r="F256" i="6"/>
  <c r="E218" i="6"/>
  <c r="E220" i="6"/>
  <c r="E256" i="6"/>
  <c r="N218" i="6"/>
  <c r="N220" i="6"/>
  <c r="N256" i="6"/>
  <c r="M218" i="6"/>
  <c r="M220" i="6"/>
  <c r="M256" i="6"/>
  <c r="I218" i="6"/>
  <c r="I220" i="6"/>
  <c r="I256" i="6"/>
  <c r="T191" i="6"/>
  <c r="T192" i="6"/>
  <c r="T193" i="6"/>
  <c r="L218" i="6"/>
  <c r="L220" i="6"/>
  <c r="L256" i="6"/>
  <c r="K218" i="6"/>
  <c r="K220" i="6"/>
  <c r="K256" i="6"/>
  <c r="J218" i="6"/>
  <c r="J220" i="6"/>
  <c r="J256" i="6"/>
  <c r="H218" i="6"/>
  <c r="H220" i="6"/>
  <c r="H256" i="6"/>
  <c r="G218" i="6"/>
  <c r="G220" i="6"/>
  <c r="G256" i="6"/>
  <c r="D218" i="6"/>
  <c r="D220" i="6"/>
  <c r="D256" i="6"/>
  <c r="P43" i="9"/>
  <c r="F11" i="3"/>
  <c r="X210" i="6"/>
  <c r="K13" i="10"/>
  <c r="C12" i="3"/>
  <c r="D12" i="3"/>
  <c r="F12" i="3"/>
  <c r="G12" i="3"/>
  <c r="F43" i="9"/>
  <c r="F45" i="9"/>
  <c r="F81" i="9"/>
  <c r="D43" i="9"/>
  <c r="D45" i="9"/>
  <c r="D81" i="9"/>
  <c r="I43" i="9"/>
  <c r="I45" i="9"/>
  <c r="I81" i="9"/>
  <c r="E43" i="9"/>
  <c r="E45" i="9"/>
  <c r="E81" i="9"/>
  <c r="H43" i="9"/>
  <c r="H45" i="9"/>
  <c r="H81" i="9"/>
  <c r="J43" i="9"/>
  <c r="J45" i="9"/>
  <c r="J81" i="9"/>
  <c r="N43" i="9"/>
  <c r="N45" i="9"/>
  <c r="N81" i="9"/>
  <c r="G43" i="9"/>
  <c r="G45" i="9"/>
  <c r="G81" i="9"/>
  <c r="C17" i="10"/>
  <c r="C18" i="10"/>
  <c r="C19" i="10"/>
  <c r="K43" i="9"/>
  <c r="K45" i="9"/>
  <c r="K81" i="9"/>
  <c r="C43" i="9"/>
  <c r="C45" i="9"/>
  <c r="C81" i="9"/>
  <c r="L43" i="9"/>
  <c r="L45" i="9"/>
  <c r="L81" i="9"/>
  <c r="M43" i="9"/>
  <c r="M45" i="9"/>
  <c r="M81" i="9"/>
  <c r="N25" i="26"/>
  <c r="N62" i="26"/>
  <c r="D25" i="26"/>
  <c r="D62" i="26"/>
  <c r="E25" i="26"/>
  <c r="E62" i="26"/>
  <c r="F25" i="26"/>
  <c r="F62" i="26"/>
  <c r="G25" i="26"/>
  <c r="G62" i="26"/>
  <c r="H25" i="26"/>
  <c r="H62" i="26"/>
  <c r="I25" i="26"/>
  <c r="I62" i="26"/>
  <c r="J25" i="26"/>
  <c r="J62" i="26"/>
  <c r="K25" i="26"/>
  <c r="K62" i="26"/>
  <c r="L25" i="26"/>
  <c r="L62" i="26"/>
  <c r="M25" i="26"/>
  <c r="M62" i="26"/>
  <c r="C25" i="26"/>
  <c r="C27" i="26"/>
  <c r="T76" i="26"/>
  <c r="N27" i="26"/>
  <c r="N28" i="26"/>
  <c r="N80" i="26"/>
  <c r="M27" i="26"/>
  <c r="M28" i="26"/>
  <c r="M80" i="26"/>
  <c r="L27" i="26"/>
  <c r="L28" i="26"/>
  <c r="L80" i="26"/>
  <c r="K27" i="26"/>
  <c r="K28" i="26"/>
  <c r="K80" i="26"/>
  <c r="J27" i="26"/>
  <c r="J28" i="26"/>
  <c r="J80" i="26"/>
  <c r="I27" i="26"/>
  <c r="I28" i="26"/>
  <c r="I80" i="26"/>
  <c r="H27" i="26"/>
  <c r="H28" i="26"/>
  <c r="H80" i="26"/>
  <c r="G27" i="26"/>
  <c r="G28" i="26"/>
  <c r="G80" i="26"/>
  <c r="F27" i="26"/>
  <c r="F28" i="26"/>
  <c r="F80" i="26"/>
  <c r="E27" i="26"/>
  <c r="E28" i="26"/>
  <c r="E80" i="26"/>
  <c r="D27" i="26"/>
  <c r="D28" i="26"/>
  <c r="D80" i="26"/>
  <c r="C62" i="26"/>
  <c r="C28" i="26"/>
  <c r="C80" i="26"/>
  <c r="E140" i="41" l="1"/>
  <c r="N407" i="41"/>
  <c r="C25" i="41"/>
  <c r="N208" i="41"/>
  <c r="E6" i="41"/>
  <c r="E58" i="41" s="1"/>
  <c r="D397" i="41"/>
  <c r="D441" i="41" s="1"/>
  <c r="F427" i="41"/>
  <c r="C26" i="41"/>
  <c r="C78" i="41" s="1"/>
  <c r="E313" i="41"/>
  <c r="I427" i="41"/>
  <c r="F313" i="41"/>
  <c r="F315" i="41" s="1"/>
  <c r="F351" i="41" s="1"/>
  <c r="M397" i="41"/>
  <c r="M441" i="41" s="1"/>
  <c r="J427" i="41"/>
  <c r="L26" i="41"/>
  <c r="L78" i="41" s="1"/>
  <c r="D41" i="41"/>
  <c r="D43" i="41" s="1"/>
  <c r="D79" i="41" s="1"/>
  <c r="I210" i="41"/>
  <c r="I254" i="41" s="1"/>
  <c r="C295" i="41"/>
  <c r="G313" i="41"/>
  <c r="P28" i="41"/>
  <c r="F41" i="41"/>
  <c r="J210" i="41"/>
  <c r="J254" i="41" s="1"/>
  <c r="C296" i="41"/>
  <c r="C350" i="41" s="1"/>
  <c r="H313" i="41"/>
  <c r="C398" i="41"/>
  <c r="D399" i="41" s="1"/>
  <c r="D442" i="41" s="1"/>
  <c r="T17" i="41"/>
  <c r="T18" i="41" s="1"/>
  <c r="I41" i="41"/>
  <c r="I313" i="41"/>
  <c r="L41" i="41"/>
  <c r="N117" i="41"/>
  <c r="J313" i="41"/>
  <c r="D202" i="41"/>
  <c r="M315" i="41"/>
  <c r="M351" i="41" s="1"/>
  <c r="D407" i="41"/>
  <c r="K42" i="41"/>
  <c r="K43" i="41" s="1"/>
  <c r="K79" i="41" s="1"/>
  <c r="L119" i="41"/>
  <c r="L163" i="41" s="1"/>
  <c r="F203" i="41"/>
  <c r="F257" i="41" s="1"/>
  <c r="I231" i="41"/>
  <c r="E303" i="41"/>
  <c r="E347" i="41" s="1"/>
  <c r="E314" i="41"/>
  <c r="F323" i="41"/>
  <c r="F324" i="41" s="1"/>
  <c r="K390" i="41"/>
  <c r="K444" i="41" s="1"/>
  <c r="E407" i="41"/>
  <c r="G31" i="41"/>
  <c r="G75" i="41" s="1"/>
  <c r="M42" i="41"/>
  <c r="M119" i="41"/>
  <c r="M163" i="41" s="1"/>
  <c r="G203" i="41"/>
  <c r="G257" i="41" s="1"/>
  <c r="N239" i="41"/>
  <c r="F314" i="41"/>
  <c r="L323" i="41"/>
  <c r="L352" i="41" s="1"/>
  <c r="F407" i="41"/>
  <c r="N31" i="41"/>
  <c r="N75" i="41" s="1"/>
  <c r="N119" i="41"/>
  <c r="N163" i="41" s="1"/>
  <c r="L203" i="41"/>
  <c r="L257" i="41" s="1"/>
  <c r="G314" i="41"/>
  <c r="G315" i="41" s="1"/>
  <c r="G351" i="41" s="1"/>
  <c r="M323" i="41"/>
  <c r="M352" i="41" s="1"/>
  <c r="G407" i="41"/>
  <c r="U114" i="41"/>
  <c r="U125" i="41" s="1"/>
  <c r="N203" i="41"/>
  <c r="N257" i="41" s="1"/>
  <c r="L314" i="41"/>
  <c r="L315" i="41" s="1"/>
  <c r="L351" i="41" s="1"/>
  <c r="H407" i="41"/>
  <c r="K259" i="41"/>
  <c r="K231" i="41"/>
  <c r="H324" i="41"/>
  <c r="H352" i="41"/>
  <c r="I446" i="41"/>
  <c r="I418" i="41"/>
  <c r="F15" i="41"/>
  <c r="F59" i="41" s="1"/>
  <c r="F62" i="41" s="1"/>
  <c r="J446" i="41"/>
  <c r="J418" i="41"/>
  <c r="H409" i="41"/>
  <c r="H445" i="41" s="1"/>
  <c r="C32" i="41"/>
  <c r="D33" i="41" s="1"/>
  <c r="D76" i="41" s="1"/>
  <c r="N409" i="41"/>
  <c r="N445" i="41" s="1"/>
  <c r="D418" i="41"/>
  <c r="F6" i="41"/>
  <c r="F58" i="41" s="1"/>
  <c r="N26" i="41"/>
  <c r="N78" i="41" s="1"/>
  <c r="K113" i="41"/>
  <c r="K166" i="41" s="1"/>
  <c r="M129" i="41"/>
  <c r="M131" i="41" s="1"/>
  <c r="M167" i="41" s="1"/>
  <c r="H221" i="41"/>
  <c r="G323" i="41"/>
  <c r="H389" i="41"/>
  <c r="N129" i="41"/>
  <c r="N131" i="41" s="1"/>
  <c r="N167" i="41" s="1"/>
  <c r="J221" i="41"/>
  <c r="F295" i="41"/>
  <c r="G303" i="41"/>
  <c r="G347" i="41" s="1"/>
  <c r="I389" i="41"/>
  <c r="C408" i="41"/>
  <c r="H6" i="41"/>
  <c r="H58" i="41" s="1"/>
  <c r="L295" i="41"/>
  <c r="H303" i="41"/>
  <c r="H347" i="41" s="1"/>
  <c r="I323" i="41"/>
  <c r="I352" i="41" s="1"/>
  <c r="D408" i="41"/>
  <c r="D409" i="41" s="1"/>
  <c r="D445" i="41" s="1"/>
  <c r="K418" i="41"/>
  <c r="I6" i="41"/>
  <c r="I58" i="41" s="1"/>
  <c r="L32" i="41"/>
  <c r="M33" i="41" s="1"/>
  <c r="M76" i="41" s="1"/>
  <c r="C130" i="41"/>
  <c r="K210" i="41"/>
  <c r="K254" i="41" s="1"/>
  <c r="M295" i="41"/>
  <c r="J323" i="41"/>
  <c r="J352" i="41" s="1"/>
  <c r="E408" i="41"/>
  <c r="L418" i="41"/>
  <c r="E60" i="41"/>
  <c r="E62" i="41" s="1"/>
  <c r="D130" i="41"/>
  <c r="C202" i="41"/>
  <c r="L210" i="41"/>
  <c r="L254" i="41" s="1"/>
  <c r="M239" i="41"/>
  <c r="N295" i="41"/>
  <c r="F408" i="41"/>
  <c r="M6" i="41"/>
  <c r="M58" i="41" s="1"/>
  <c r="P117" i="41"/>
  <c r="E130" i="41"/>
  <c r="M210" i="41"/>
  <c r="M254" i="41" s="1"/>
  <c r="M389" i="41"/>
  <c r="G408" i="41"/>
  <c r="G426" i="41"/>
  <c r="G60" i="41"/>
  <c r="F130" i="41"/>
  <c r="N210" i="41"/>
  <c r="N254" i="41" s="1"/>
  <c r="D240" i="41"/>
  <c r="E296" i="41"/>
  <c r="E350" i="41" s="1"/>
  <c r="F304" i="41"/>
  <c r="G305" i="41" s="1"/>
  <c r="G348" i="41" s="1"/>
  <c r="P321" i="41"/>
  <c r="H408" i="41"/>
  <c r="H426" i="41"/>
  <c r="K60" i="41"/>
  <c r="G130" i="41"/>
  <c r="E240" i="41"/>
  <c r="F296" i="41"/>
  <c r="F350" i="41" s="1"/>
  <c r="I408" i="41"/>
  <c r="M426" i="41"/>
  <c r="J119" i="41"/>
  <c r="J163" i="41" s="1"/>
  <c r="H130" i="41"/>
  <c r="F139" i="41"/>
  <c r="F140" i="41" s="1"/>
  <c r="D203" i="41"/>
  <c r="D257" i="41" s="1"/>
  <c r="G296" i="41"/>
  <c r="G350" i="41" s="1"/>
  <c r="C314" i="41"/>
  <c r="C409" i="41"/>
  <c r="C445" i="41" s="1"/>
  <c r="J408" i="41"/>
  <c r="N426" i="41"/>
  <c r="K119" i="41"/>
  <c r="K163" i="41" s="1"/>
  <c r="J130" i="41"/>
  <c r="G139" i="41"/>
  <c r="G140" i="41" s="1"/>
  <c r="N296" i="41"/>
  <c r="N350" i="41" s="1"/>
  <c r="I304" i="41"/>
  <c r="J305" i="41" s="1"/>
  <c r="J348" i="41" s="1"/>
  <c r="D314" i="41"/>
  <c r="K408" i="41"/>
  <c r="L130" i="41"/>
  <c r="L131" i="41" s="1"/>
  <c r="L167" i="41" s="1"/>
  <c r="N301" i="41"/>
  <c r="P301" i="41" s="1"/>
  <c r="E409" i="41"/>
  <c r="E445" i="41" s="1"/>
  <c r="G7" i="41"/>
  <c r="H70" i="41" s="1"/>
  <c r="H72" i="41" s="1"/>
  <c r="N130" i="41"/>
  <c r="P298" i="41"/>
  <c r="F409" i="41"/>
  <c r="F445" i="41" s="1"/>
  <c r="I25" i="41"/>
  <c r="J31" i="41"/>
  <c r="J75" i="41" s="1"/>
  <c r="N222" i="41"/>
  <c r="N258" i="41" s="1"/>
  <c r="H314" i="41"/>
  <c r="N14" i="41"/>
  <c r="N15" i="41" s="1"/>
  <c r="N59" i="41" s="1"/>
  <c r="N62" i="41" s="1"/>
  <c r="L25" i="41"/>
  <c r="M43" i="41"/>
  <c r="M79" i="41" s="1"/>
  <c r="I314" i="41"/>
  <c r="I315" i="41" s="1"/>
  <c r="I351" i="41" s="1"/>
  <c r="I407" i="41"/>
  <c r="K7" i="41"/>
  <c r="L70" i="41" s="1"/>
  <c r="L72" i="41" s="1"/>
  <c r="M25" i="41"/>
  <c r="N43" i="41"/>
  <c r="N79" i="41" s="1"/>
  <c r="K112" i="41"/>
  <c r="C221" i="41"/>
  <c r="C313" i="41"/>
  <c r="J314" i="41"/>
  <c r="J315" i="41" s="1"/>
  <c r="J351" i="41" s="1"/>
  <c r="E352" i="41"/>
  <c r="J407" i="41"/>
  <c r="N25" i="41"/>
  <c r="V29" i="41"/>
  <c r="M31" i="41"/>
  <c r="M75" i="41" s="1"/>
  <c r="C113" i="41"/>
  <c r="C166" i="41" s="1"/>
  <c r="D221" i="41"/>
  <c r="D313" i="41"/>
  <c r="K314" i="41"/>
  <c r="K315" i="41" s="1"/>
  <c r="K351" i="41" s="1"/>
  <c r="K407" i="41"/>
  <c r="C427" i="41"/>
  <c r="C417" i="41"/>
  <c r="E441" i="41"/>
  <c r="E398" i="41"/>
  <c r="N389" i="41"/>
  <c r="F398" i="41"/>
  <c r="G399" i="41" s="1"/>
  <c r="G442" i="41" s="1"/>
  <c r="G417" i="41"/>
  <c r="C390" i="41"/>
  <c r="C444" i="41" s="1"/>
  <c r="G398" i="41"/>
  <c r="H399" i="41" s="1"/>
  <c r="H442" i="41" s="1"/>
  <c r="H417" i="41"/>
  <c r="D390" i="41"/>
  <c r="D444" i="41" s="1"/>
  <c r="E390" i="41"/>
  <c r="E444" i="41" s="1"/>
  <c r="I398" i="41"/>
  <c r="J399" i="41" s="1"/>
  <c r="J442" i="41" s="1"/>
  <c r="P415" i="41"/>
  <c r="E446" i="41"/>
  <c r="F390" i="41"/>
  <c r="F444" i="41" s="1"/>
  <c r="J398" i="41"/>
  <c r="K399" i="41" s="1"/>
  <c r="K442" i="41" s="1"/>
  <c r="F446" i="41"/>
  <c r="G390" i="41"/>
  <c r="G444" i="41" s="1"/>
  <c r="K398" i="41"/>
  <c r="L399" i="41" s="1"/>
  <c r="L442" i="41" s="1"/>
  <c r="D426" i="41"/>
  <c r="L398" i="41"/>
  <c r="M399" i="41" s="1"/>
  <c r="M442" i="41" s="1"/>
  <c r="M417" i="41"/>
  <c r="E426" i="41"/>
  <c r="I390" i="41"/>
  <c r="I444" i="41" s="1"/>
  <c r="N417" i="41"/>
  <c r="F426" i="41"/>
  <c r="L390" i="41"/>
  <c r="L444" i="41" s="1"/>
  <c r="N395" i="41"/>
  <c r="P395" i="41" s="1"/>
  <c r="C347" i="41"/>
  <c r="H295" i="41"/>
  <c r="M303" i="41"/>
  <c r="M347" i="41" s="1"/>
  <c r="I324" i="41"/>
  <c r="M332" i="41"/>
  <c r="I295" i="41"/>
  <c r="N303" i="41"/>
  <c r="N347" i="41" s="1"/>
  <c r="J295" i="41"/>
  <c r="C323" i="41"/>
  <c r="K295" i="41"/>
  <c r="C304" i="41"/>
  <c r="D323" i="41"/>
  <c r="D296" i="41"/>
  <c r="D350" i="41" s="1"/>
  <c r="J304" i="41"/>
  <c r="K305" i="41" s="1"/>
  <c r="K348" i="41" s="1"/>
  <c r="K323" i="41"/>
  <c r="F352" i="41"/>
  <c r="D332" i="41"/>
  <c r="H296" i="41"/>
  <c r="H350" i="41" s="1"/>
  <c r="E332" i="41"/>
  <c r="I296" i="41"/>
  <c r="I350" i="41" s="1"/>
  <c r="N323" i="41"/>
  <c r="J296" i="41"/>
  <c r="J350" i="41" s="1"/>
  <c r="G332" i="41"/>
  <c r="K296" i="41"/>
  <c r="K350" i="41" s="1"/>
  <c r="L296" i="41"/>
  <c r="L350" i="41" s="1"/>
  <c r="C254" i="41"/>
  <c r="I15" i="41"/>
  <c r="I59" i="41" s="1"/>
  <c r="C212" i="41"/>
  <c r="C255" i="41" s="1"/>
  <c r="L15" i="41"/>
  <c r="L59" i="41" s="1"/>
  <c r="L62" i="41" s="1"/>
  <c r="C163" i="41"/>
  <c r="M15" i="41"/>
  <c r="M59" i="41" s="1"/>
  <c r="N58" i="41"/>
  <c r="N7" i="41"/>
  <c r="T35" i="41" s="1"/>
  <c r="C75" i="41"/>
  <c r="P208" i="41"/>
  <c r="C51" i="41"/>
  <c r="C61" i="41"/>
  <c r="C240" i="41"/>
  <c r="C230" i="41"/>
  <c r="C14" i="41"/>
  <c r="V28" i="41"/>
  <c r="P207" i="41"/>
  <c r="D14" i="41"/>
  <c r="D26" i="41"/>
  <c r="D78" i="41" s="1"/>
  <c r="C42" i="41"/>
  <c r="I60" i="41"/>
  <c r="G113" i="41"/>
  <c r="G166" i="41" s="1"/>
  <c r="H203" i="41"/>
  <c r="H257" i="41" s="1"/>
  <c r="J6" i="41"/>
  <c r="J58" i="41" s="1"/>
  <c r="E26" i="41"/>
  <c r="E78" i="41" s="1"/>
  <c r="J60" i="41"/>
  <c r="H113" i="41"/>
  <c r="H166" i="41" s="1"/>
  <c r="I203" i="41"/>
  <c r="I257" i="41" s="1"/>
  <c r="F26" i="41"/>
  <c r="F78" i="41" s="1"/>
  <c r="I113" i="41"/>
  <c r="I166" i="41" s="1"/>
  <c r="C120" i="41"/>
  <c r="J203" i="41"/>
  <c r="J257" i="41" s="1"/>
  <c r="L6" i="41"/>
  <c r="G14" i="41"/>
  <c r="G26" i="41"/>
  <c r="G78" i="41" s="1"/>
  <c r="F42" i="41"/>
  <c r="F43" i="41" s="1"/>
  <c r="F79" i="41" s="1"/>
  <c r="J113" i="41"/>
  <c r="J166" i="41" s="1"/>
  <c r="D120" i="41"/>
  <c r="E121" i="41" s="1"/>
  <c r="E164" i="41" s="1"/>
  <c r="H139" i="41"/>
  <c r="C168" i="41"/>
  <c r="K203" i="41"/>
  <c r="K257" i="41" s="1"/>
  <c r="C211" i="41"/>
  <c r="G42" i="41"/>
  <c r="M60" i="41"/>
  <c r="C112" i="41"/>
  <c r="E120" i="41"/>
  <c r="F121" i="41" s="1"/>
  <c r="F164" i="41" s="1"/>
  <c r="I139" i="41"/>
  <c r="D168" i="41"/>
  <c r="D211" i="41"/>
  <c r="E212" i="41" s="1"/>
  <c r="E255" i="41" s="1"/>
  <c r="D259" i="41"/>
  <c r="D32" i="41"/>
  <c r="H42" i="41"/>
  <c r="D112" i="41"/>
  <c r="L113" i="41"/>
  <c r="L166" i="41" s="1"/>
  <c r="F120" i="41"/>
  <c r="G121" i="41" s="1"/>
  <c r="G164" i="41" s="1"/>
  <c r="I130" i="41"/>
  <c r="P137" i="41"/>
  <c r="J139" i="41"/>
  <c r="M203" i="41"/>
  <c r="M257" i="41" s="1"/>
  <c r="E211" i="41"/>
  <c r="F212" i="41" s="1"/>
  <c r="F255" i="41" s="1"/>
  <c r="I221" i="41"/>
  <c r="P228" i="41"/>
  <c r="J230" i="41"/>
  <c r="E259" i="41"/>
  <c r="J14" i="41"/>
  <c r="J26" i="41"/>
  <c r="J78" i="41" s="1"/>
  <c r="E32" i="41"/>
  <c r="F33" i="41" s="1"/>
  <c r="F76" i="41" s="1"/>
  <c r="I42" i="41"/>
  <c r="I43" i="41" s="1"/>
  <c r="I79" i="41" s="1"/>
  <c r="P49" i="41"/>
  <c r="E112" i="41"/>
  <c r="M113" i="41"/>
  <c r="M166" i="41" s="1"/>
  <c r="G120" i="41"/>
  <c r="H121" i="41" s="1"/>
  <c r="H164" i="41" s="1"/>
  <c r="C129" i="41"/>
  <c r="K139" i="41"/>
  <c r="F211" i="41"/>
  <c r="G212" i="41" s="1"/>
  <c r="G255" i="41" s="1"/>
  <c r="C220" i="41"/>
  <c r="C239" i="41"/>
  <c r="F259" i="41"/>
  <c r="C7" i="41"/>
  <c r="D70" i="41" s="1"/>
  <c r="D72" i="41" s="1"/>
  <c r="K14" i="41"/>
  <c r="E16" i="41"/>
  <c r="E17" i="41" s="1"/>
  <c r="E73" i="41" s="1"/>
  <c r="K26" i="41"/>
  <c r="K78" i="41" s="1"/>
  <c r="F32" i="41"/>
  <c r="G33" i="41" s="1"/>
  <c r="G76" i="41" s="1"/>
  <c r="C41" i="41"/>
  <c r="J42" i="41"/>
  <c r="H59" i="41"/>
  <c r="H62" i="41" s="1"/>
  <c r="F112" i="41"/>
  <c r="N113" i="41"/>
  <c r="N166" i="41" s="1"/>
  <c r="H120" i="41"/>
  <c r="I121" i="41" s="1"/>
  <c r="I164" i="41" s="1"/>
  <c r="D129" i="41"/>
  <c r="D131" i="41" s="1"/>
  <c r="D167" i="41" s="1"/>
  <c r="K130" i="41"/>
  <c r="L139" i="41"/>
  <c r="G202" i="41"/>
  <c r="G211" i="41"/>
  <c r="H212" i="41" s="1"/>
  <c r="H255" i="41" s="1"/>
  <c r="D220" i="41"/>
  <c r="K221" i="41"/>
  <c r="L230" i="41"/>
  <c r="G259" i="41"/>
  <c r="D7" i="41"/>
  <c r="E70" i="41" s="1"/>
  <c r="E72" i="41" s="1"/>
  <c r="D25" i="41"/>
  <c r="G112" i="41"/>
  <c r="I120" i="41"/>
  <c r="J121" i="41" s="1"/>
  <c r="J164" i="41" s="1"/>
  <c r="E129" i="41"/>
  <c r="M139" i="41"/>
  <c r="H202" i="41"/>
  <c r="H211" i="41"/>
  <c r="I212" i="41" s="1"/>
  <c r="I255" i="41" s="1"/>
  <c r="E220" i="41"/>
  <c r="E222" i="41" s="1"/>
  <c r="E258" i="41" s="1"/>
  <c r="L221" i="41"/>
  <c r="L222" i="41" s="1"/>
  <c r="L258" i="41" s="1"/>
  <c r="M230" i="41"/>
  <c r="H259" i="41"/>
  <c r="H32" i="41"/>
  <c r="I33" i="41" s="1"/>
  <c r="I76" i="41" s="1"/>
  <c r="E41" i="41"/>
  <c r="E43" i="41" s="1"/>
  <c r="E79" i="41" s="1"/>
  <c r="L42" i="41"/>
  <c r="H112" i="41"/>
  <c r="F129" i="41"/>
  <c r="F131" i="41" s="1"/>
  <c r="F167" i="41" s="1"/>
  <c r="N139" i="41"/>
  <c r="I202" i="41"/>
  <c r="F220" i="41"/>
  <c r="F222" i="41" s="1"/>
  <c r="F258" i="41" s="1"/>
  <c r="M221" i="41"/>
  <c r="M222" i="41" s="1"/>
  <c r="M258" i="41" s="1"/>
  <c r="N230" i="41"/>
  <c r="I112" i="41"/>
  <c r="G129" i="41"/>
  <c r="G131" i="41" s="1"/>
  <c r="G167" i="41" s="1"/>
  <c r="J202" i="41"/>
  <c r="G220" i="41"/>
  <c r="G222" i="41" s="1"/>
  <c r="G258" i="41" s="1"/>
  <c r="G41" i="41"/>
  <c r="G43" i="41" s="1"/>
  <c r="G79" i="41" s="1"/>
  <c r="J112" i="41"/>
  <c r="H129" i="41"/>
  <c r="K202" i="41"/>
  <c r="H220" i="41"/>
  <c r="H222" i="41" s="1"/>
  <c r="H258" i="41" s="1"/>
  <c r="H41" i="41"/>
  <c r="H43" i="41" s="1"/>
  <c r="H79" i="41" s="1"/>
  <c r="I129" i="41"/>
  <c r="L202" i="41"/>
  <c r="I220" i="41"/>
  <c r="P5" i="41"/>
  <c r="T4" i="41" s="1"/>
  <c r="U38" i="41"/>
  <c r="T104" i="41"/>
  <c r="T105" i="41" s="1"/>
  <c r="L112" i="41"/>
  <c r="J129" i="41"/>
  <c r="J131" i="41" s="1"/>
  <c r="J167" i="41" s="1"/>
  <c r="T194" i="41"/>
  <c r="J220" i="41"/>
  <c r="J41" i="41"/>
  <c r="K129" i="41"/>
  <c r="K220" i="41"/>
  <c r="H14" i="14"/>
  <c r="H15" i="14" s="1"/>
  <c r="I14" i="26"/>
  <c r="M7" i="6"/>
  <c r="N8" i="6" s="1"/>
  <c r="N70" i="6" s="1"/>
  <c r="N72" i="6" s="1"/>
  <c r="M14" i="24"/>
  <c r="M15" i="24" s="1"/>
  <c r="M62" i="24" s="1"/>
  <c r="M65" i="24" s="1"/>
  <c r="M66" i="24" s="1"/>
  <c r="N67" i="24" s="1"/>
  <c r="N84" i="24" s="1"/>
  <c r="Y162" i="32"/>
  <c r="W168" i="26"/>
  <c r="W263" i="26" s="1"/>
  <c r="W261" i="26" s="1"/>
  <c r="Y72" i="32"/>
  <c r="H59" i="14"/>
  <c r="H7" i="14"/>
  <c r="I8" i="14" s="1"/>
  <c r="I71" i="14" s="1"/>
  <c r="I73" i="14" s="1"/>
  <c r="Z48" i="14" s="1"/>
  <c r="Z52" i="14" s="1"/>
  <c r="W263" i="24"/>
  <c r="Y263" i="24" s="1"/>
  <c r="Y168" i="24"/>
  <c r="M7" i="22"/>
  <c r="N8" i="22" s="1"/>
  <c r="N72" i="22" s="1"/>
  <c r="N74" i="22" s="1"/>
  <c r="AE50" i="22" s="1"/>
  <c r="AE54" i="22" s="1"/>
  <c r="M60" i="22"/>
  <c r="X71" i="14"/>
  <c r="H6" i="22"/>
  <c r="H60" i="22" s="1"/>
  <c r="C83" i="14"/>
  <c r="Y75" i="24"/>
  <c r="C14" i="6"/>
  <c r="C15" i="6" s="1"/>
  <c r="C59" i="6" s="1"/>
  <c r="C62" i="6" s="1"/>
  <c r="C63" i="6" s="1"/>
  <c r="D64" i="6" s="1"/>
  <c r="D81" i="6" s="1"/>
  <c r="W166" i="22"/>
  <c r="N14" i="26"/>
  <c r="C7" i="26"/>
  <c r="C8" i="26" s="1"/>
  <c r="C72" i="26" s="1"/>
  <c r="C74" i="26" s="1"/>
  <c r="T50" i="26" s="1"/>
  <c r="T54" i="26" s="1"/>
  <c r="N6" i="26"/>
  <c r="E6" i="32"/>
  <c r="E7" i="32" s="1"/>
  <c r="F8" i="32" s="1"/>
  <c r="F71" i="32" s="1"/>
  <c r="F73" i="32" s="1"/>
  <c r="Y72" i="14"/>
  <c r="H14" i="12"/>
  <c r="H15" i="12" s="1"/>
  <c r="H59" i="12" s="1"/>
  <c r="H62" i="12" s="1"/>
  <c r="H63" i="12" s="1"/>
  <c r="I64" i="12" s="1"/>
  <c r="I81" i="12" s="1"/>
  <c r="X73" i="33"/>
  <c r="W166" i="24"/>
  <c r="Y73" i="14"/>
  <c r="Y74" i="24"/>
  <c r="Y168" i="22"/>
  <c r="X263" i="22"/>
  <c r="Y263" i="22" s="1"/>
  <c r="H15" i="24"/>
  <c r="H62" i="24" s="1"/>
  <c r="H65" i="24" s="1"/>
  <c r="H16" i="24"/>
  <c r="H17" i="24" s="1"/>
  <c r="H76" i="24" s="1"/>
  <c r="X166" i="22"/>
  <c r="X177" i="22" s="1"/>
  <c r="X262" i="22"/>
  <c r="H16" i="14"/>
  <c r="H17" i="14" s="1"/>
  <c r="H74" i="14" s="1"/>
  <c r="H60" i="14"/>
  <c r="H63" i="14" s="1"/>
  <c r="W261" i="22"/>
  <c r="X262" i="24"/>
  <c r="X261" i="24" s="1"/>
  <c r="X272" i="24" s="1"/>
  <c r="X166" i="24"/>
  <c r="X177" i="24" s="1"/>
  <c r="X166" i="26"/>
  <c r="X177" i="26" s="1"/>
  <c r="Y167" i="26"/>
  <c r="X262" i="26"/>
  <c r="Y168" i="33"/>
  <c r="W263" i="33"/>
  <c r="Y263" i="33" s="1"/>
  <c r="K6" i="14"/>
  <c r="K59" i="14" s="1"/>
  <c r="K64" i="14" s="1"/>
  <c r="L65" i="14" s="1"/>
  <c r="L82" i="14" s="1"/>
  <c r="C81" i="1"/>
  <c r="M58" i="12"/>
  <c r="Y74" i="33"/>
  <c r="E6" i="14"/>
  <c r="K14" i="24"/>
  <c r="K15" i="24" s="1"/>
  <c r="K62" i="24" s="1"/>
  <c r="K65" i="24" s="1"/>
  <c r="K66" i="24" s="1"/>
  <c r="L67" i="24" s="1"/>
  <c r="L84" i="24" s="1"/>
  <c r="K14" i="26"/>
  <c r="Y253" i="32"/>
  <c r="K7" i="24"/>
  <c r="X167" i="33"/>
  <c r="D14" i="14"/>
  <c r="D15" i="14" s="1"/>
  <c r="H14" i="32"/>
  <c r="H15" i="32" s="1"/>
  <c r="H60" i="32" s="1"/>
  <c r="H63" i="32" s="1"/>
  <c r="Y167" i="24"/>
  <c r="X263" i="26"/>
  <c r="Y263" i="26" s="1"/>
  <c r="X163" i="32"/>
  <c r="E15" i="32"/>
  <c r="E60" i="32" s="1"/>
  <c r="E63" i="32" s="1"/>
  <c r="Y75" i="33"/>
  <c r="W262" i="33"/>
  <c r="G14" i="26"/>
  <c r="G15" i="26" s="1"/>
  <c r="G61" i="26" s="1"/>
  <c r="G64" i="26" s="1"/>
  <c r="G65" i="26" s="1"/>
  <c r="H66" i="26" s="1"/>
  <c r="H83" i="26" s="1"/>
  <c r="L14" i="26"/>
  <c r="L15" i="26" s="1"/>
  <c r="L61" i="26" s="1"/>
  <c r="L64" i="26" s="1"/>
  <c r="L65" i="26" s="1"/>
  <c r="M66" i="26" s="1"/>
  <c r="M83" i="26" s="1"/>
  <c r="G54" i="1"/>
  <c r="I54" i="1" s="1"/>
  <c r="G14" i="6"/>
  <c r="G15" i="6" s="1"/>
  <c r="G59" i="6" s="1"/>
  <c r="G62" i="6" s="1"/>
  <c r="X162" i="14"/>
  <c r="C14" i="12"/>
  <c r="C15" i="12" s="1"/>
  <c r="L6" i="24"/>
  <c r="W262" i="24"/>
  <c r="X73" i="22"/>
  <c r="H7" i="33"/>
  <c r="I8" i="33" s="1"/>
  <c r="I73" i="33" s="1"/>
  <c r="I75" i="33" s="1"/>
  <c r="Z50" i="33" s="1"/>
  <c r="Z54" i="33" s="1"/>
  <c r="H7" i="32"/>
  <c r="I8" i="32" s="1"/>
  <c r="I71" i="32" s="1"/>
  <c r="I73" i="32" s="1"/>
  <c r="Z48" i="32" s="1"/>
  <c r="Z52" i="32" s="1"/>
  <c r="K54" i="1"/>
  <c r="C51" i="1"/>
  <c r="Y75" i="22"/>
  <c r="AE5" i="12"/>
  <c r="AE6" i="12" s="1"/>
  <c r="AD7" i="12" s="1"/>
  <c r="Y167" i="22"/>
  <c r="M14" i="12"/>
  <c r="M15" i="12" s="1"/>
  <c r="M59" i="12" s="1"/>
  <c r="M62" i="12" s="1"/>
  <c r="C7" i="6"/>
  <c r="D8" i="6" s="1"/>
  <c r="D70" i="6" s="1"/>
  <c r="D72" i="6" s="1"/>
  <c r="N6" i="24"/>
  <c r="N61" i="24" s="1"/>
  <c r="Y163" i="14"/>
  <c r="Y74" i="26"/>
  <c r="K85" i="1"/>
  <c r="E14" i="12"/>
  <c r="E15" i="12" s="1"/>
  <c r="E59" i="12" s="1"/>
  <c r="E62" i="12" s="1"/>
  <c r="E63" i="12" s="1"/>
  <c r="F64" i="12" s="1"/>
  <c r="F81" i="12" s="1"/>
  <c r="K16" i="14"/>
  <c r="K17" i="14" s="1"/>
  <c r="K74" i="14" s="1"/>
  <c r="H6" i="24"/>
  <c r="H61" i="24" s="1"/>
  <c r="J6" i="22"/>
  <c r="G15" i="14"/>
  <c r="G60" i="14" s="1"/>
  <c r="G63" i="14" s="1"/>
  <c r="F7" i="14"/>
  <c r="G8" i="14" s="1"/>
  <c r="G71" i="14" s="1"/>
  <c r="G73" i="14" s="1"/>
  <c r="F59" i="14"/>
  <c r="N7" i="6"/>
  <c r="P8" i="6" s="1"/>
  <c r="G14" i="16" s="1"/>
  <c r="I14" i="16" s="1"/>
  <c r="N58" i="6"/>
  <c r="K15" i="33"/>
  <c r="K62" i="33" s="1"/>
  <c r="K65" i="33" s="1"/>
  <c r="J15" i="22"/>
  <c r="J61" i="22" s="1"/>
  <c r="J64" i="22" s="1"/>
  <c r="J16" i="22"/>
  <c r="J17" i="22" s="1"/>
  <c r="J75" i="22" s="1"/>
  <c r="M16" i="6"/>
  <c r="M17" i="6" s="1"/>
  <c r="M73" i="6" s="1"/>
  <c r="M59" i="6"/>
  <c r="M62" i="6" s="1"/>
  <c r="M63" i="6" s="1"/>
  <c r="N64" i="6" s="1"/>
  <c r="N81" i="6" s="1"/>
  <c r="J7" i="33"/>
  <c r="K8" i="33" s="1"/>
  <c r="K73" i="33" s="1"/>
  <c r="K75" i="33" s="1"/>
  <c r="AB50" i="33" s="1"/>
  <c r="AB54" i="33" s="1"/>
  <c r="J61" i="33"/>
  <c r="L7" i="22"/>
  <c r="M8" i="22" s="1"/>
  <c r="M72" i="22" s="1"/>
  <c r="M74" i="22" s="1"/>
  <c r="L60" i="22"/>
  <c r="I7" i="33"/>
  <c r="J8" i="33" s="1"/>
  <c r="J73" i="33" s="1"/>
  <c r="J75" i="33" s="1"/>
  <c r="AA50" i="33" s="1"/>
  <c r="AA54" i="33" s="1"/>
  <c r="I61" i="33"/>
  <c r="L59" i="6"/>
  <c r="L62" i="6" s="1"/>
  <c r="L16" i="6"/>
  <c r="L17" i="6" s="1"/>
  <c r="L73" i="6" s="1"/>
  <c r="J16" i="24"/>
  <c r="J17" i="24" s="1"/>
  <c r="J76" i="24" s="1"/>
  <c r="J62" i="24"/>
  <c r="J65" i="24" s="1"/>
  <c r="H64" i="32"/>
  <c r="I65" i="32" s="1"/>
  <c r="I82" i="32" s="1"/>
  <c r="L15" i="24"/>
  <c r="L62" i="24" s="1"/>
  <c r="L65" i="24" s="1"/>
  <c r="L16" i="24"/>
  <c r="L17" i="24" s="1"/>
  <c r="L76" i="24" s="1"/>
  <c r="J15" i="32"/>
  <c r="J60" i="32" s="1"/>
  <c r="J63" i="32" s="1"/>
  <c r="J16" i="32"/>
  <c r="J17" i="32" s="1"/>
  <c r="J74" i="32" s="1"/>
  <c r="E15" i="33"/>
  <c r="E62" i="33" s="1"/>
  <c r="E65" i="33" s="1"/>
  <c r="I15" i="32"/>
  <c r="I60" i="32" s="1"/>
  <c r="I63" i="32" s="1"/>
  <c r="I16" i="32"/>
  <c r="I17" i="32" s="1"/>
  <c r="I74" i="32" s="1"/>
  <c r="D61" i="33"/>
  <c r="D7" i="33"/>
  <c r="E8" i="33" s="1"/>
  <c r="E73" i="33" s="1"/>
  <c r="E75" i="33" s="1"/>
  <c r="V50" i="33" s="1"/>
  <c r="V54" i="33" s="1"/>
  <c r="H7" i="12"/>
  <c r="I8" i="12" s="1"/>
  <c r="E6" i="6"/>
  <c r="E58" i="6" s="1"/>
  <c r="D6" i="6"/>
  <c r="D58" i="6" s="1"/>
  <c r="M7" i="24"/>
  <c r="J6" i="26"/>
  <c r="J60" i="26" s="1"/>
  <c r="J65" i="26" s="1"/>
  <c r="K66" i="26" s="1"/>
  <c r="K83" i="26" s="1"/>
  <c r="H7" i="6"/>
  <c r="I8" i="6" s="1"/>
  <c r="I70" i="6" s="1"/>
  <c r="I72" i="6" s="1"/>
  <c r="J14" i="6"/>
  <c r="G7" i="24"/>
  <c r="P5" i="14"/>
  <c r="T70" i="14" s="1"/>
  <c r="T72" i="14" s="1"/>
  <c r="L6" i="36" s="1"/>
  <c r="E14" i="26"/>
  <c r="E15" i="26" s="1"/>
  <c r="E61" i="26" s="1"/>
  <c r="E64" i="26" s="1"/>
  <c r="L6" i="32"/>
  <c r="I6" i="32"/>
  <c r="I7" i="32" s="1"/>
  <c r="J8" i="32" s="1"/>
  <c r="J71" i="32" s="1"/>
  <c r="J73" i="32" s="1"/>
  <c r="AA48" i="32" s="1"/>
  <c r="AA52" i="32" s="1"/>
  <c r="F14" i="14"/>
  <c r="G6" i="22"/>
  <c r="G60" i="22" s="1"/>
  <c r="D6" i="32"/>
  <c r="D59" i="32" s="1"/>
  <c r="G7" i="6"/>
  <c r="H8" i="6" s="1"/>
  <c r="H70" i="6" s="1"/>
  <c r="H72" i="6" s="1"/>
  <c r="C7" i="14"/>
  <c r="D8" i="14" s="1"/>
  <c r="D71" i="14" s="1"/>
  <c r="D73" i="14" s="1"/>
  <c r="U48" i="14" s="1"/>
  <c r="U52" i="14" s="1"/>
  <c r="E6" i="26"/>
  <c r="E60" i="26" s="1"/>
  <c r="I7" i="6"/>
  <c r="J8" i="6" s="1"/>
  <c r="J70" i="6" s="1"/>
  <c r="J72" i="6" s="1"/>
  <c r="F6" i="33"/>
  <c r="J6" i="24"/>
  <c r="J61" i="24" s="1"/>
  <c r="J6" i="32"/>
  <c r="D14" i="33"/>
  <c r="D15" i="33" s="1"/>
  <c r="D62" i="33" s="1"/>
  <c r="D65" i="33" s="1"/>
  <c r="F16" i="6"/>
  <c r="F17" i="6" s="1"/>
  <c r="F73" i="6" s="1"/>
  <c r="K6" i="33"/>
  <c r="J7" i="6"/>
  <c r="K8" i="6" s="1"/>
  <c r="K70" i="6" s="1"/>
  <c r="K72" i="6" s="1"/>
  <c r="E7" i="12"/>
  <c r="F8" i="12" s="1"/>
  <c r="F70" i="12" s="1"/>
  <c r="F72" i="12" s="1"/>
  <c r="I14" i="6"/>
  <c r="L16" i="32"/>
  <c r="L17" i="32" s="1"/>
  <c r="L74" i="32" s="1"/>
  <c r="E6" i="33"/>
  <c r="L14" i="22"/>
  <c r="I14" i="24"/>
  <c r="I15" i="24" s="1"/>
  <c r="I62" i="24" s="1"/>
  <c r="I65" i="24" s="1"/>
  <c r="I66" i="24" s="1"/>
  <c r="J67" i="24" s="1"/>
  <c r="J84" i="24" s="1"/>
  <c r="F6" i="26"/>
  <c r="F60" i="26" s="1"/>
  <c r="G6" i="14"/>
  <c r="I14" i="22"/>
  <c r="I15" i="22" s="1"/>
  <c r="C97" i="26"/>
  <c r="C188" i="26" s="1"/>
  <c r="M7" i="14"/>
  <c r="N8" i="14" s="1"/>
  <c r="N71" i="14" s="1"/>
  <c r="N73" i="14" s="1"/>
  <c r="AE48" i="14" s="1"/>
  <c r="AE52" i="14" s="1"/>
  <c r="N14" i="6"/>
  <c r="N15" i="6" s="1"/>
  <c r="N16" i="6" s="1"/>
  <c r="N17" i="6" s="1"/>
  <c r="N73" i="6" s="1"/>
  <c r="E14" i="6"/>
  <c r="M14" i="14"/>
  <c r="M15" i="14" s="1"/>
  <c r="M60" i="14" s="1"/>
  <c r="M63" i="14" s="1"/>
  <c r="M64" i="14" s="1"/>
  <c r="N65" i="14" s="1"/>
  <c r="N82" i="14" s="1"/>
  <c r="I7" i="24"/>
  <c r="J14" i="33"/>
  <c r="C60" i="14"/>
  <c r="C63" i="14" s="1"/>
  <c r="C64" i="14" s="1"/>
  <c r="D65" i="14" s="1"/>
  <c r="D82" i="14" s="1"/>
  <c r="D14" i="6"/>
  <c r="D15" i="6" s="1"/>
  <c r="D16" i="6" s="1"/>
  <c r="D17" i="6" s="1"/>
  <c r="D73" i="6" s="1"/>
  <c r="E16" i="14"/>
  <c r="E17" i="14" s="1"/>
  <c r="E74" i="14" s="1"/>
  <c r="M6" i="32"/>
  <c r="M59" i="32" s="1"/>
  <c r="M64" i="32" s="1"/>
  <c r="N65" i="32" s="1"/>
  <c r="N82" i="32" s="1"/>
  <c r="I14" i="33"/>
  <c r="I15" i="33" s="1"/>
  <c r="I62" i="33" s="1"/>
  <c r="I65" i="33" s="1"/>
  <c r="H14" i="26"/>
  <c r="F6" i="12"/>
  <c r="F58" i="12" s="1"/>
  <c r="K6" i="32"/>
  <c r="K59" i="32" s="1"/>
  <c r="J16" i="26"/>
  <c r="J17" i="26" s="1"/>
  <c r="J75" i="26" s="1"/>
  <c r="C16" i="6"/>
  <c r="C17" i="6" s="1"/>
  <c r="C73" i="6" s="1"/>
  <c r="C82" i="6" s="1"/>
  <c r="C84" i="6" s="1"/>
  <c r="C85" i="6" s="1"/>
  <c r="D83" i="6" s="1"/>
  <c r="G16" i="12"/>
  <c r="G17" i="12" s="1"/>
  <c r="G73" i="12" s="1"/>
  <c r="K6" i="26"/>
  <c r="G15" i="22"/>
  <c r="G61" i="22" s="1"/>
  <c r="G64" i="22" s="1"/>
  <c r="E6" i="22"/>
  <c r="E60" i="22" s="1"/>
  <c r="E14" i="22"/>
  <c r="C58" i="12"/>
  <c r="C7" i="12"/>
  <c r="D8" i="12" s="1"/>
  <c r="T53" i="14"/>
  <c r="T55" i="14" s="1"/>
  <c r="T57" i="14" s="1"/>
  <c r="T58" i="14" s="1"/>
  <c r="U56" i="14" s="1"/>
  <c r="C85" i="14"/>
  <c r="C86" i="14" s="1"/>
  <c r="D84" i="14" s="1"/>
  <c r="K16" i="6"/>
  <c r="K17" i="6" s="1"/>
  <c r="K73" i="6" s="1"/>
  <c r="K59" i="6"/>
  <c r="K62" i="6" s="1"/>
  <c r="F6" i="22"/>
  <c r="F60" i="22" s="1"/>
  <c r="F14" i="22"/>
  <c r="L6" i="12"/>
  <c r="L58" i="12" s="1"/>
  <c r="L7" i="12"/>
  <c r="M8" i="12" s="1"/>
  <c r="L14" i="12"/>
  <c r="C59" i="12"/>
  <c r="C62" i="12" s="1"/>
  <c r="H16" i="6"/>
  <c r="H17" i="6" s="1"/>
  <c r="H73" i="6" s="1"/>
  <c r="H59" i="6"/>
  <c r="H62" i="6" s="1"/>
  <c r="H63" i="6" s="1"/>
  <c r="I64" i="6" s="1"/>
  <c r="I81" i="6" s="1"/>
  <c r="D15" i="12"/>
  <c r="D59" i="12" s="1"/>
  <c r="D62" i="12" s="1"/>
  <c r="D14" i="22"/>
  <c r="D6" i="22"/>
  <c r="D60" i="22" s="1"/>
  <c r="K15" i="12"/>
  <c r="K59" i="12" s="1"/>
  <c r="K62" i="12" s="1"/>
  <c r="K16" i="12"/>
  <c r="K17" i="12" s="1"/>
  <c r="K73" i="12" s="1"/>
  <c r="N7" i="26"/>
  <c r="P8" i="26" s="1"/>
  <c r="N60" i="26"/>
  <c r="H108" i="26"/>
  <c r="H109" i="26" s="1"/>
  <c r="H167" i="26" s="1"/>
  <c r="N15" i="24"/>
  <c r="N62" i="24" s="1"/>
  <c r="N65" i="24" s="1"/>
  <c r="N16" i="24"/>
  <c r="N17" i="24" s="1"/>
  <c r="N76" i="24" s="1"/>
  <c r="K6" i="22"/>
  <c r="K60" i="22" s="1"/>
  <c r="K14" i="22"/>
  <c r="P5" i="12"/>
  <c r="T68" i="12" s="1"/>
  <c r="T70" i="12" s="1"/>
  <c r="D6" i="12"/>
  <c r="D58" i="12" s="1"/>
  <c r="N14" i="12"/>
  <c r="N7" i="12"/>
  <c r="P8" i="12" s="1"/>
  <c r="G58" i="12"/>
  <c r="G63" i="12" s="1"/>
  <c r="H64" i="12" s="1"/>
  <c r="H81" i="12" s="1"/>
  <c r="G7" i="12"/>
  <c r="H8" i="12" s="1"/>
  <c r="G63" i="6"/>
  <c r="H64" i="6" s="1"/>
  <c r="H81" i="6" s="1"/>
  <c r="H188" i="26"/>
  <c r="H98" i="26"/>
  <c r="H152" i="26" s="1"/>
  <c r="H157" i="26" s="1"/>
  <c r="I158" i="26" s="1"/>
  <c r="I175" i="26" s="1"/>
  <c r="H99" i="26"/>
  <c r="J16" i="12"/>
  <c r="J17" i="12" s="1"/>
  <c r="J73" i="12" s="1"/>
  <c r="F15" i="12"/>
  <c r="F59" i="12" s="1"/>
  <c r="F62" i="12" s="1"/>
  <c r="F16" i="12"/>
  <c r="F17" i="12" s="1"/>
  <c r="F73" i="12" s="1"/>
  <c r="L7" i="6"/>
  <c r="M8" i="6" s="1"/>
  <c r="M70" i="6" s="1"/>
  <c r="M72" i="6" s="1"/>
  <c r="L58" i="6"/>
  <c r="L15" i="14"/>
  <c r="L60" i="14" s="1"/>
  <c r="L63" i="14" s="1"/>
  <c r="L16" i="14"/>
  <c r="L17" i="14" s="1"/>
  <c r="L74" i="14" s="1"/>
  <c r="K58" i="6"/>
  <c r="K7" i="6"/>
  <c r="L8" i="6" s="1"/>
  <c r="L70" i="6" s="1"/>
  <c r="L72" i="6" s="1"/>
  <c r="K58" i="12"/>
  <c r="K7" i="12"/>
  <c r="L8" i="12" s="1"/>
  <c r="F16" i="32"/>
  <c r="F17" i="32" s="1"/>
  <c r="F74" i="32" s="1"/>
  <c r="N6" i="14"/>
  <c r="N59" i="14" s="1"/>
  <c r="N7" i="14"/>
  <c r="P8" i="14" s="1"/>
  <c r="N14" i="14"/>
  <c r="F153" i="26"/>
  <c r="F156" i="26" s="1"/>
  <c r="F108" i="26"/>
  <c r="F109" i="26" s="1"/>
  <c r="F167" i="26" s="1"/>
  <c r="I6" i="14"/>
  <c r="I59" i="14" s="1"/>
  <c r="I7" i="14"/>
  <c r="J8" i="14" s="1"/>
  <c r="J71" i="14" s="1"/>
  <c r="J73" i="14" s="1"/>
  <c r="I14" i="14"/>
  <c r="H7" i="22"/>
  <c r="I8" i="22" s="1"/>
  <c r="I72" i="22" s="1"/>
  <c r="I74" i="22" s="1"/>
  <c r="N245" i="26"/>
  <c r="N248" i="26" s="1"/>
  <c r="N199" i="26"/>
  <c r="N200" i="26" s="1"/>
  <c r="N259" i="26" s="1"/>
  <c r="H62" i="33"/>
  <c r="H65" i="33" s="1"/>
  <c r="H16" i="33"/>
  <c r="H17" i="33" s="1"/>
  <c r="H76" i="33" s="1"/>
  <c r="H66" i="33"/>
  <c r="I67" i="33" s="1"/>
  <c r="I84" i="33" s="1"/>
  <c r="D60" i="32"/>
  <c r="D63" i="32" s="1"/>
  <c r="D16" i="32"/>
  <c r="D17" i="32" s="1"/>
  <c r="D74" i="32" s="1"/>
  <c r="J60" i="22"/>
  <c r="J7" i="22"/>
  <c r="K8" i="22" s="1"/>
  <c r="K72" i="22" s="1"/>
  <c r="K74" i="22" s="1"/>
  <c r="J6" i="12"/>
  <c r="J58" i="12" s="1"/>
  <c r="J63" i="12" s="1"/>
  <c r="K64" i="12" s="1"/>
  <c r="K81" i="12" s="1"/>
  <c r="G62" i="24"/>
  <c r="G65" i="24" s="1"/>
  <c r="G66" i="24" s="1"/>
  <c r="H67" i="24" s="1"/>
  <c r="H84" i="24" s="1"/>
  <c r="H85" i="24" s="1"/>
  <c r="G16" i="24"/>
  <c r="G17" i="24" s="1"/>
  <c r="G76" i="24" s="1"/>
  <c r="L6" i="14"/>
  <c r="L59" i="14" s="1"/>
  <c r="P5" i="6"/>
  <c r="M92" i="6" s="1"/>
  <c r="F6" i="6"/>
  <c r="K15" i="26"/>
  <c r="K61" i="26" s="1"/>
  <c r="K64" i="26" s="1"/>
  <c r="K16" i="26"/>
  <c r="K17" i="26" s="1"/>
  <c r="K75" i="26" s="1"/>
  <c r="I6" i="12"/>
  <c r="I58" i="12" s="1"/>
  <c r="I14" i="12"/>
  <c r="N189" i="26"/>
  <c r="N244" i="26" s="1"/>
  <c r="N190" i="26"/>
  <c r="P191" i="26" s="1"/>
  <c r="W269" i="26" s="1"/>
  <c r="Y269" i="26" s="1"/>
  <c r="P6" i="13"/>
  <c r="C15" i="1"/>
  <c r="C20" i="1" s="1"/>
  <c r="N14" i="32"/>
  <c r="N6" i="32"/>
  <c r="N59" i="32" s="1"/>
  <c r="L14" i="33"/>
  <c r="L6" i="33"/>
  <c r="L61" i="33" s="1"/>
  <c r="P5" i="33"/>
  <c r="C15" i="26"/>
  <c r="C61" i="26" s="1"/>
  <c r="C64" i="26" s="1"/>
  <c r="C65" i="26" s="1"/>
  <c r="D66" i="26" s="1"/>
  <c r="D83" i="26" s="1"/>
  <c r="E98" i="26"/>
  <c r="E152" i="26" s="1"/>
  <c r="E188" i="26"/>
  <c r="E106" i="26"/>
  <c r="M16" i="32"/>
  <c r="M17" i="32" s="1"/>
  <c r="M74" i="32" s="1"/>
  <c r="D98" i="26"/>
  <c r="D152" i="26" s="1"/>
  <c r="D188" i="26"/>
  <c r="D106" i="26"/>
  <c r="N60" i="22"/>
  <c r="N65" i="22" s="1"/>
  <c r="P66" i="22" s="1"/>
  <c r="N7" i="22"/>
  <c r="P8" i="22" s="1"/>
  <c r="I15" i="26"/>
  <c r="I61" i="26" s="1"/>
  <c r="I64" i="26" s="1"/>
  <c r="I65" i="26" s="1"/>
  <c r="J66" i="26" s="1"/>
  <c r="J83" i="26" s="1"/>
  <c r="F15" i="33"/>
  <c r="F62" i="33" s="1"/>
  <c r="F65" i="33" s="1"/>
  <c r="L97" i="26"/>
  <c r="L7" i="26"/>
  <c r="N7" i="33"/>
  <c r="P8" i="33" s="1"/>
  <c r="N14" i="33"/>
  <c r="C7" i="24"/>
  <c r="C61" i="24"/>
  <c r="P5" i="26"/>
  <c r="D6" i="26"/>
  <c r="D60" i="26" s="1"/>
  <c r="D14" i="26"/>
  <c r="K60" i="32"/>
  <c r="K63" i="32" s="1"/>
  <c r="K16" i="32"/>
  <c r="K17" i="32" s="1"/>
  <c r="K74" i="32" s="1"/>
  <c r="F188" i="26"/>
  <c r="F98" i="26"/>
  <c r="G97" i="26"/>
  <c r="G7" i="26"/>
  <c r="F6" i="24"/>
  <c r="F61" i="24" s="1"/>
  <c r="F14" i="24"/>
  <c r="E6" i="24"/>
  <c r="E61" i="24" s="1"/>
  <c r="E14" i="24"/>
  <c r="M16" i="33"/>
  <c r="M17" i="33" s="1"/>
  <c r="M76" i="33" s="1"/>
  <c r="C14" i="33"/>
  <c r="C6" i="33"/>
  <c r="J14" i="14"/>
  <c r="J7" i="14"/>
  <c r="K8" i="14" s="1"/>
  <c r="K71" i="14" s="1"/>
  <c r="K73" i="14" s="1"/>
  <c r="K106" i="26"/>
  <c r="K188" i="26"/>
  <c r="K99" i="26"/>
  <c r="P5" i="24"/>
  <c r="C14" i="24"/>
  <c r="G14" i="32"/>
  <c r="G6" i="32"/>
  <c r="P5" i="32"/>
  <c r="C14" i="32"/>
  <c r="C6" i="32"/>
  <c r="C59" i="32" s="1"/>
  <c r="F6" i="32"/>
  <c r="F59" i="32" s="1"/>
  <c r="F64" i="32" s="1"/>
  <c r="G65" i="32" s="1"/>
  <c r="G82" i="32" s="1"/>
  <c r="F7" i="32"/>
  <c r="G8" i="32" s="1"/>
  <c r="G71" i="32" s="1"/>
  <c r="G73" i="32" s="1"/>
  <c r="I97" i="26"/>
  <c r="I7" i="26"/>
  <c r="H15" i="22"/>
  <c r="H61" i="22" s="1"/>
  <c r="H64" i="22" s="1"/>
  <c r="F14" i="26"/>
  <c r="M6" i="33"/>
  <c r="M61" i="33" s="1"/>
  <c r="M66" i="33" s="1"/>
  <c r="N67" i="33" s="1"/>
  <c r="N84" i="33" s="1"/>
  <c r="M7" i="33"/>
  <c r="N8" i="33" s="1"/>
  <c r="N73" i="33" s="1"/>
  <c r="N75" i="33" s="1"/>
  <c r="P5" i="22"/>
  <c r="C14" i="22"/>
  <c r="N106" i="26"/>
  <c r="N98" i="26"/>
  <c r="D6" i="24"/>
  <c r="D61" i="24" s="1"/>
  <c r="D14" i="24"/>
  <c r="I60" i="22"/>
  <c r="I7" i="22"/>
  <c r="J8" i="22" s="1"/>
  <c r="J72" i="22" s="1"/>
  <c r="J74" i="22" s="1"/>
  <c r="M65" i="22"/>
  <c r="N66" i="22" s="1"/>
  <c r="N83" i="22" s="1"/>
  <c r="G6" i="33"/>
  <c r="G14" i="33"/>
  <c r="M14" i="26"/>
  <c r="M97" i="26"/>
  <c r="M6" i="26"/>
  <c r="D7" i="14"/>
  <c r="E8" i="14" s="1"/>
  <c r="E71" i="14" s="1"/>
  <c r="E73" i="14" s="1"/>
  <c r="N16" i="22"/>
  <c r="N17" i="22" s="1"/>
  <c r="N75" i="22" s="1"/>
  <c r="C6" i="22"/>
  <c r="C60" i="22" s="1"/>
  <c r="J97" i="26"/>
  <c r="H6" i="26"/>
  <c r="F62" i="6"/>
  <c r="C10" i="16"/>
  <c r="C12" i="16"/>
  <c r="T11" i="6"/>
  <c r="C11" i="16"/>
  <c r="T10" i="6"/>
  <c r="C9" i="16"/>
  <c r="T8" i="6"/>
  <c r="E92" i="6"/>
  <c r="L92" i="6"/>
  <c r="U115" i="6"/>
  <c r="V28" i="6"/>
  <c r="V27" i="6" s="1"/>
  <c r="C127" i="22"/>
  <c r="C170" i="22" s="1"/>
  <c r="C128" i="33"/>
  <c r="C171" i="33" s="1"/>
  <c r="C125" i="32"/>
  <c r="C168" i="32" s="1"/>
  <c r="C127" i="26"/>
  <c r="C170" i="26" s="1"/>
  <c r="C128" i="24"/>
  <c r="C171" i="24" s="1"/>
  <c r="C125" i="14"/>
  <c r="C168" i="14" s="1"/>
  <c r="C210" i="6"/>
  <c r="C253" i="6" s="1"/>
  <c r="C237" i="6"/>
  <c r="C201" i="6"/>
  <c r="C255" i="6" s="1"/>
  <c r="C200" i="6"/>
  <c r="D237" i="6"/>
  <c r="D201" i="6"/>
  <c r="D255" i="6" s="1"/>
  <c r="D200" i="6"/>
  <c r="E237" i="6"/>
  <c r="E201" i="6"/>
  <c r="E255" i="6" s="1"/>
  <c r="E200" i="6"/>
  <c r="F237" i="6"/>
  <c r="F201" i="6"/>
  <c r="F255" i="6" s="1"/>
  <c r="F200" i="6"/>
  <c r="G201" i="6"/>
  <c r="G255" i="6" s="1"/>
  <c r="G200" i="6"/>
  <c r="M237" i="6"/>
  <c r="M200" i="6"/>
  <c r="K209" i="6"/>
  <c r="K208" i="6"/>
  <c r="L209" i="6"/>
  <c r="M210" i="6" s="1"/>
  <c r="M253" i="6" s="1"/>
  <c r="L208" i="6"/>
  <c r="L252" i="6" s="1"/>
  <c r="M209" i="6"/>
  <c r="N210" i="6" s="1"/>
  <c r="N253" i="6" s="1"/>
  <c r="M208" i="6"/>
  <c r="M252" i="6" s="1"/>
  <c r="N209" i="6"/>
  <c r="P210" i="6" s="1"/>
  <c r="N208" i="6"/>
  <c r="N252" i="6" s="1"/>
  <c r="D238" i="6"/>
  <c r="D228" i="6"/>
  <c r="E257" i="6"/>
  <c r="E229" i="6"/>
  <c r="G23" i="36"/>
  <c r="F23" i="36"/>
  <c r="N16" i="41" l="1"/>
  <c r="N17" i="41" s="1"/>
  <c r="N73" i="41" s="1"/>
  <c r="J7" i="41"/>
  <c r="K70" i="41" s="1"/>
  <c r="K72" i="41" s="1"/>
  <c r="F63" i="41"/>
  <c r="G64" i="41" s="1"/>
  <c r="G81" i="41" s="1"/>
  <c r="H7" i="41"/>
  <c r="I70" i="41" s="1"/>
  <c r="I72" i="41" s="1"/>
  <c r="H63" i="41"/>
  <c r="I64" i="41" s="1"/>
  <c r="I81" i="41" s="1"/>
  <c r="U205" i="41"/>
  <c r="U216" i="41" s="1"/>
  <c r="G409" i="41"/>
  <c r="G445" i="41" s="1"/>
  <c r="C315" i="41"/>
  <c r="C351" i="41" s="1"/>
  <c r="J43" i="41"/>
  <c r="J79" i="41" s="1"/>
  <c r="M324" i="41"/>
  <c r="M62" i="41"/>
  <c r="M63" i="41" s="1"/>
  <c r="N64" i="41" s="1"/>
  <c r="N81" i="41" s="1"/>
  <c r="E315" i="41"/>
  <c r="E351" i="41" s="1"/>
  <c r="L324" i="41"/>
  <c r="P397" i="41"/>
  <c r="F16" i="41"/>
  <c r="F17" i="41" s="1"/>
  <c r="F73" i="41" s="1"/>
  <c r="F82" i="41" s="1"/>
  <c r="E63" i="41"/>
  <c r="F64" i="41" s="1"/>
  <c r="F81" i="41" s="1"/>
  <c r="E7" i="41"/>
  <c r="F70" i="41" s="1"/>
  <c r="F72" i="41" s="1"/>
  <c r="L43" i="41"/>
  <c r="L79" i="41" s="1"/>
  <c r="F168" i="41"/>
  <c r="V27" i="41"/>
  <c r="H315" i="41"/>
  <c r="H351" i="41" s="1"/>
  <c r="G168" i="41"/>
  <c r="C131" i="41"/>
  <c r="C167" i="41" s="1"/>
  <c r="H131" i="41"/>
  <c r="H167" i="41" s="1"/>
  <c r="I409" i="41"/>
  <c r="I445" i="41" s="1"/>
  <c r="I62" i="41"/>
  <c r="I63" i="41" s="1"/>
  <c r="J64" i="41" s="1"/>
  <c r="J81" i="41" s="1"/>
  <c r="P210" i="41"/>
  <c r="K409" i="41"/>
  <c r="K445" i="41" s="1"/>
  <c r="D315" i="41"/>
  <c r="D351" i="41" s="1"/>
  <c r="M7" i="41"/>
  <c r="N70" i="41" s="1"/>
  <c r="N72" i="41" s="1"/>
  <c r="E131" i="41"/>
  <c r="E167" i="41" s="1"/>
  <c r="C43" i="41"/>
  <c r="C79" i="41" s="1"/>
  <c r="J222" i="41"/>
  <c r="J258" i="41" s="1"/>
  <c r="F7" i="41"/>
  <c r="G70" i="41" s="1"/>
  <c r="G72" i="41" s="1"/>
  <c r="P31" i="41"/>
  <c r="P119" i="41"/>
  <c r="J409" i="41"/>
  <c r="J445" i="41" s="1"/>
  <c r="G352" i="41"/>
  <c r="G324" i="41"/>
  <c r="I222" i="41"/>
  <c r="I258" i="41" s="1"/>
  <c r="D222" i="41"/>
  <c r="D258" i="41" s="1"/>
  <c r="C222" i="41"/>
  <c r="C258" i="41" s="1"/>
  <c r="J324" i="41"/>
  <c r="I7" i="41"/>
  <c r="J70" i="41" s="1"/>
  <c r="J72" i="41" s="1"/>
  <c r="N446" i="41"/>
  <c r="N418" i="41"/>
  <c r="H418" i="41"/>
  <c r="H446" i="41"/>
  <c r="F399" i="41"/>
  <c r="F442" i="41" s="1"/>
  <c r="P398" i="41"/>
  <c r="M446" i="41"/>
  <c r="M418" i="41"/>
  <c r="C418" i="41"/>
  <c r="C446" i="41"/>
  <c r="G418" i="41"/>
  <c r="G446" i="41"/>
  <c r="N352" i="41"/>
  <c r="N324" i="41"/>
  <c r="P303" i="41"/>
  <c r="K352" i="41"/>
  <c r="K324" i="41"/>
  <c r="D324" i="41"/>
  <c r="D352" i="41"/>
  <c r="D305" i="41"/>
  <c r="D348" i="41" s="1"/>
  <c r="P304" i="41"/>
  <c r="C324" i="41"/>
  <c r="C352" i="41"/>
  <c r="D92" i="41"/>
  <c r="N92" i="41"/>
  <c r="M92" i="41"/>
  <c r="L92" i="41"/>
  <c r="K92" i="41"/>
  <c r="J92" i="41"/>
  <c r="C92" i="41"/>
  <c r="I92" i="41"/>
  <c r="H92" i="41"/>
  <c r="G92" i="41"/>
  <c r="T6" i="41"/>
  <c r="F92" i="41"/>
  <c r="E92" i="41"/>
  <c r="N168" i="41"/>
  <c r="N140" i="41"/>
  <c r="J140" i="41"/>
  <c r="J168" i="41"/>
  <c r="D15" i="41"/>
  <c r="D59" i="41" s="1"/>
  <c r="D62" i="41" s="1"/>
  <c r="D63" i="41" s="1"/>
  <c r="E64" i="41" s="1"/>
  <c r="E81" i="41" s="1"/>
  <c r="D16" i="41"/>
  <c r="D17" i="41" s="1"/>
  <c r="D73" i="41" s="1"/>
  <c r="T114" i="41"/>
  <c r="V115" i="41"/>
  <c r="V116" i="41"/>
  <c r="V207" i="41"/>
  <c r="I131" i="41"/>
  <c r="I167" i="41" s="1"/>
  <c r="I16" i="41"/>
  <c r="I17" i="41" s="1"/>
  <c r="I73" i="41" s="1"/>
  <c r="K168" i="41"/>
  <c r="K140" i="41"/>
  <c r="G15" i="41"/>
  <c r="G59" i="41" s="1"/>
  <c r="G62" i="41" s="1"/>
  <c r="G63" i="41" s="1"/>
  <c r="H64" i="41" s="1"/>
  <c r="H81" i="41" s="1"/>
  <c r="H82" i="41" s="1"/>
  <c r="H84" i="41" s="1"/>
  <c r="C15" i="41"/>
  <c r="C59" i="41" s="1"/>
  <c r="C62" i="41" s="1"/>
  <c r="C63" i="41" s="1"/>
  <c r="D64" i="41" s="1"/>
  <c r="D81" i="41" s="1"/>
  <c r="P14" i="41"/>
  <c r="T7" i="41" s="1"/>
  <c r="V35" i="41"/>
  <c r="L168" i="41"/>
  <c r="L140" i="41"/>
  <c r="L7" i="41"/>
  <c r="M70" i="41" s="1"/>
  <c r="M72" i="41" s="1"/>
  <c r="L58" i="41"/>
  <c r="L63" i="41" s="1"/>
  <c r="M64" i="41" s="1"/>
  <c r="M81" i="41" s="1"/>
  <c r="N63" i="41"/>
  <c r="P64" i="41" s="1"/>
  <c r="X35" i="41" s="1"/>
  <c r="H140" i="41"/>
  <c r="H168" i="41"/>
  <c r="M259" i="41"/>
  <c r="M231" i="41"/>
  <c r="P32" i="41"/>
  <c r="E33" i="41"/>
  <c r="E76" i="41" s="1"/>
  <c r="P120" i="41"/>
  <c r="D121" i="41"/>
  <c r="D164" i="41" s="1"/>
  <c r="L259" i="41"/>
  <c r="L231" i="41"/>
  <c r="C231" i="41"/>
  <c r="C259" i="41"/>
  <c r="M16" i="41"/>
  <c r="M17" i="41" s="1"/>
  <c r="M73" i="41" s="1"/>
  <c r="K222" i="41"/>
  <c r="K258" i="41" s="1"/>
  <c r="I168" i="41"/>
  <c r="I140" i="41"/>
  <c r="K131" i="41"/>
  <c r="K167" i="41" s="1"/>
  <c r="M168" i="41"/>
  <c r="M140" i="41"/>
  <c r="C52" i="41"/>
  <c r="C80" i="41"/>
  <c r="J15" i="41"/>
  <c r="J59" i="41" s="1"/>
  <c r="J62" i="41" s="1"/>
  <c r="L16" i="41"/>
  <c r="L17" i="41" s="1"/>
  <c r="L73" i="41" s="1"/>
  <c r="J63" i="41"/>
  <c r="K64" i="41" s="1"/>
  <c r="K81" i="41" s="1"/>
  <c r="J231" i="41"/>
  <c r="J259" i="41"/>
  <c r="N259" i="41"/>
  <c r="N231" i="41"/>
  <c r="P211" i="41"/>
  <c r="D212" i="41"/>
  <c r="D255" i="41" s="1"/>
  <c r="K15" i="41"/>
  <c r="K59" i="41" s="1"/>
  <c r="K62" i="41" s="1"/>
  <c r="K63" i="41" s="1"/>
  <c r="L64" i="41" s="1"/>
  <c r="L81" i="41" s="1"/>
  <c r="N82" i="41"/>
  <c r="M16" i="24"/>
  <c r="M17" i="24" s="1"/>
  <c r="M76" i="24" s="1"/>
  <c r="H16" i="32"/>
  <c r="H17" i="32" s="1"/>
  <c r="H74" i="32" s="1"/>
  <c r="E7" i="26"/>
  <c r="F7" i="22"/>
  <c r="G8" i="22" s="1"/>
  <c r="G72" i="22" s="1"/>
  <c r="G74" i="22" s="1"/>
  <c r="I66" i="33"/>
  <c r="J67" i="33" s="1"/>
  <c r="J84" i="33" s="1"/>
  <c r="N85" i="24"/>
  <c r="W166" i="26"/>
  <c r="Y168" i="26"/>
  <c r="Y166" i="26" s="1"/>
  <c r="H16" i="12"/>
  <c r="H17" i="12" s="1"/>
  <c r="H73" i="12" s="1"/>
  <c r="H82" i="12" s="1"/>
  <c r="E59" i="32"/>
  <c r="E64" i="32" s="1"/>
  <c r="F65" i="32" s="1"/>
  <c r="F82" i="32" s="1"/>
  <c r="F83" i="32" s="1"/>
  <c r="L6" i="13"/>
  <c r="H7" i="24"/>
  <c r="I8" i="24" s="1"/>
  <c r="I73" i="24" s="1"/>
  <c r="I75" i="24" s="1"/>
  <c r="Z50" i="24" s="1"/>
  <c r="Z54" i="24" s="1"/>
  <c r="G16" i="6"/>
  <c r="G17" i="6" s="1"/>
  <c r="G73" i="6" s="1"/>
  <c r="M63" i="12"/>
  <c r="N64" i="12" s="1"/>
  <c r="N81" i="12" s="1"/>
  <c r="Y166" i="24"/>
  <c r="L83" i="14"/>
  <c r="M7" i="32"/>
  <c r="N8" i="32" s="1"/>
  <c r="N71" i="32" s="1"/>
  <c r="N73" i="32" s="1"/>
  <c r="AE48" i="32" s="1"/>
  <c r="AE52" i="32" s="1"/>
  <c r="E99" i="26"/>
  <c r="N15" i="26"/>
  <c r="N61" i="26" s="1"/>
  <c r="N64" i="26" s="1"/>
  <c r="N65" i="26" s="1"/>
  <c r="P66" i="26" s="1"/>
  <c r="N16" i="26"/>
  <c r="N17" i="26" s="1"/>
  <c r="N75" i="26" s="1"/>
  <c r="C16" i="12"/>
  <c r="C17" i="12" s="1"/>
  <c r="C73" i="12" s="1"/>
  <c r="C82" i="12" s="1"/>
  <c r="C84" i="12" s="1"/>
  <c r="C85" i="12" s="1"/>
  <c r="D83" i="12" s="1"/>
  <c r="H64" i="14"/>
  <c r="I65" i="14" s="1"/>
  <c r="I82" i="14" s="1"/>
  <c r="K63" i="12"/>
  <c r="L64" i="12" s="1"/>
  <c r="L81" i="12" s="1"/>
  <c r="Y166" i="22"/>
  <c r="W5" i="12"/>
  <c r="W6" i="12" s="1"/>
  <c r="V7" i="12" s="1"/>
  <c r="X261" i="22"/>
  <c r="X272" i="22" s="1"/>
  <c r="L16" i="26"/>
  <c r="L17" i="26" s="1"/>
  <c r="L75" i="26" s="1"/>
  <c r="D7" i="32"/>
  <c r="E8" i="32" s="1"/>
  <c r="E71" i="32" s="1"/>
  <c r="E73" i="32" s="1"/>
  <c r="V48" i="32" s="1"/>
  <c r="V52" i="32" s="1"/>
  <c r="D59" i="6"/>
  <c r="D62" i="6" s="1"/>
  <c r="D63" i="6" s="1"/>
  <c r="E64" i="6" s="1"/>
  <c r="E81" i="6" s="1"/>
  <c r="H66" i="24"/>
  <c r="I67" i="24" s="1"/>
  <c r="I84" i="24" s="1"/>
  <c r="G7" i="22"/>
  <c r="H8" i="22" s="1"/>
  <c r="H72" i="22" s="1"/>
  <c r="H74" i="22" s="1"/>
  <c r="I7" i="12"/>
  <c r="J8" i="12" s="1"/>
  <c r="N66" i="24"/>
  <c r="P67" i="24" s="1"/>
  <c r="D96" i="14"/>
  <c r="D97" i="14" s="1"/>
  <c r="D150" i="14" s="1"/>
  <c r="N84" i="22"/>
  <c r="AE55" i="22" s="1"/>
  <c r="AE57" i="22" s="1"/>
  <c r="AE59" i="22" s="1"/>
  <c r="J84" i="26"/>
  <c r="AA55" i="26" s="1"/>
  <c r="AA57" i="26" s="1"/>
  <c r="C106" i="26"/>
  <c r="D16" i="33"/>
  <c r="D17" i="33" s="1"/>
  <c r="D76" i="33" s="1"/>
  <c r="G96" i="14"/>
  <c r="G105" i="14" s="1"/>
  <c r="C98" i="26"/>
  <c r="C152" i="26" s="1"/>
  <c r="C157" i="26" s="1"/>
  <c r="D158" i="26" s="1"/>
  <c r="D175" i="26" s="1"/>
  <c r="F96" i="14"/>
  <c r="F97" i="14" s="1"/>
  <c r="F150" i="14" s="1"/>
  <c r="N7" i="24"/>
  <c r="P8" i="24" s="1"/>
  <c r="W81" i="24" s="1"/>
  <c r="Y81" i="24" s="1"/>
  <c r="D64" i="32"/>
  <c r="E65" i="32" s="1"/>
  <c r="E82" i="32" s="1"/>
  <c r="L96" i="14"/>
  <c r="L97" i="14" s="1"/>
  <c r="L150" i="14" s="1"/>
  <c r="T35" i="6"/>
  <c r="V35" i="6" s="1"/>
  <c r="C95" i="6" s="1"/>
  <c r="C158" i="6" s="1"/>
  <c r="C160" i="6" s="1"/>
  <c r="E96" i="14"/>
  <c r="E97" i="14" s="1"/>
  <c r="E150" i="14" s="1"/>
  <c r="K7" i="32"/>
  <c r="L8" i="32" s="1"/>
  <c r="L71" i="32" s="1"/>
  <c r="L73" i="32" s="1"/>
  <c r="AC48" i="32" s="1"/>
  <c r="AC52" i="32" s="1"/>
  <c r="I96" i="14"/>
  <c r="I97" i="14" s="1"/>
  <c r="D7" i="26"/>
  <c r="H96" i="14"/>
  <c r="J85" i="24"/>
  <c r="W261" i="24"/>
  <c r="Y262" i="24"/>
  <c r="Y261" i="24" s="1"/>
  <c r="Y167" i="33"/>
  <c r="Y166" i="33" s="1"/>
  <c r="X166" i="33"/>
  <c r="X177" i="33" s="1"/>
  <c r="X262" i="33"/>
  <c r="X261" i="33" s="1"/>
  <c r="X272" i="33" s="1"/>
  <c r="Y262" i="22"/>
  <c r="Y261" i="22" s="1"/>
  <c r="W261" i="33"/>
  <c r="Y262" i="33"/>
  <c r="Y261" i="33" s="1"/>
  <c r="J65" i="22"/>
  <c r="K66" i="22" s="1"/>
  <c r="K83" i="22" s="1"/>
  <c r="M96" i="14"/>
  <c r="M97" i="14" s="1"/>
  <c r="M150" i="14" s="1"/>
  <c r="Y163" i="32"/>
  <c r="Y161" i="32" s="1"/>
  <c r="X161" i="32"/>
  <c r="X172" i="32" s="1"/>
  <c r="X254" i="32"/>
  <c r="N59" i="6"/>
  <c r="N62" i="6" s="1"/>
  <c r="N63" i="6" s="1"/>
  <c r="P64" i="6" s="1"/>
  <c r="X35" i="6" s="1"/>
  <c r="X33" i="6" s="1"/>
  <c r="G14" i="5"/>
  <c r="I14" i="5" s="1"/>
  <c r="C8" i="7" s="1"/>
  <c r="C71" i="7" s="1"/>
  <c r="C73" i="7" s="1"/>
  <c r="X261" i="26"/>
  <c r="X272" i="26" s="1"/>
  <c r="Y262" i="26"/>
  <c r="Y261" i="26" s="1"/>
  <c r="F63" i="12"/>
  <c r="G64" i="12" s="1"/>
  <c r="G81" i="12" s="1"/>
  <c r="G82" i="12" s="1"/>
  <c r="J7" i="26"/>
  <c r="J8" i="26" s="1"/>
  <c r="J72" i="26" s="1"/>
  <c r="J74" i="26" s="1"/>
  <c r="G16" i="14"/>
  <c r="G17" i="14" s="1"/>
  <c r="G74" i="14" s="1"/>
  <c r="G83" i="14" s="1"/>
  <c r="X53" i="14" s="1"/>
  <c r="X55" i="14" s="1"/>
  <c r="D16" i="14"/>
  <c r="D17" i="14" s="1"/>
  <c r="D74" i="14" s="1"/>
  <c r="D83" i="14" s="1"/>
  <c r="D60" i="14"/>
  <c r="D63" i="14" s="1"/>
  <c r="D64" i="14" s="1"/>
  <c r="E65" i="14" s="1"/>
  <c r="E82" i="14" s="1"/>
  <c r="E83" i="14" s="1"/>
  <c r="E7" i="24"/>
  <c r="M16" i="12"/>
  <c r="M17" i="12" s="1"/>
  <c r="M73" i="12" s="1"/>
  <c r="C96" i="14"/>
  <c r="C97" i="14" s="1"/>
  <c r="K7" i="14"/>
  <c r="L8" i="14" s="1"/>
  <c r="L71" i="14" s="1"/>
  <c r="L73" i="14" s="1"/>
  <c r="AC48" i="14" s="1"/>
  <c r="AC52" i="14" s="1"/>
  <c r="M16" i="14"/>
  <c r="M17" i="14" s="1"/>
  <c r="M74" i="14" s="1"/>
  <c r="K96" i="14"/>
  <c r="K105" i="14" s="1"/>
  <c r="L7" i="24"/>
  <c r="L8" i="24" s="1"/>
  <c r="L73" i="24" s="1"/>
  <c r="L75" i="24" s="1"/>
  <c r="L61" i="24"/>
  <c r="L66" i="24" s="1"/>
  <c r="M67" i="24" s="1"/>
  <c r="M84" i="24" s="1"/>
  <c r="M85" i="24" s="1"/>
  <c r="AD55" i="24" s="1"/>
  <c r="AD57" i="24" s="1"/>
  <c r="E16" i="32"/>
  <c r="E17" i="32" s="1"/>
  <c r="E74" i="32" s="1"/>
  <c r="J96" i="14"/>
  <c r="J105" i="14" s="1"/>
  <c r="D82" i="6"/>
  <c r="D84" i="6" s="1"/>
  <c r="D85" i="6" s="1"/>
  <c r="E83" i="6" s="1"/>
  <c r="L85" i="24"/>
  <c r="P7" i="13"/>
  <c r="D7" i="6"/>
  <c r="E8" i="6" s="1"/>
  <c r="E70" i="6" s="1"/>
  <c r="E72" i="6" s="1"/>
  <c r="X253" i="14"/>
  <c r="X161" i="14"/>
  <c r="X172" i="14" s="1"/>
  <c r="Y162" i="14"/>
  <c r="Y161" i="14" s="1"/>
  <c r="F7" i="24"/>
  <c r="G8" i="24" s="1"/>
  <c r="G73" i="24" s="1"/>
  <c r="G75" i="24" s="1"/>
  <c r="X50" i="24" s="1"/>
  <c r="X54" i="24" s="1"/>
  <c r="E7" i="14"/>
  <c r="F8" i="14" s="1"/>
  <c r="F71" i="14" s="1"/>
  <c r="F73" i="14" s="1"/>
  <c r="W48" i="14" s="1"/>
  <c r="W52" i="14" s="1"/>
  <c r="E59" i="14"/>
  <c r="E64" i="14" s="1"/>
  <c r="F65" i="14" s="1"/>
  <c r="F82" i="14" s="1"/>
  <c r="L7" i="14"/>
  <c r="M8" i="14" s="1"/>
  <c r="M71" i="14" s="1"/>
  <c r="M73" i="14" s="1"/>
  <c r="AD48" i="14" s="1"/>
  <c r="AD52" i="14" s="1"/>
  <c r="E16" i="33"/>
  <c r="E17" i="33" s="1"/>
  <c r="E76" i="33" s="1"/>
  <c r="K55" i="1"/>
  <c r="G16" i="26"/>
  <c r="G17" i="26" s="1"/>
  <c r="G75" i="26" s="1"/>
  <c r="E15" i="6"/>
  <c r="E59" i="6" s="1"/>
  <c r="E62" i="6" s="1"/>
  <c r="E63" i="6" s="1"/>
  <c r="F64" i="6" s="1"/>
  <c r="F81" i="6" s="1"/>
  <c r="F82" i="6" s="1"/>
  <c r="K7" i="33"/>
  <c r="L8" i="33" s="1"/>
  <c r="L73" i="33" s="1"/>
  <c r="L75" i="33" s="1"/>
  <c r="AC50" i="33" s="1"/>
  <c r="AC54" i="33" s="1"/>
  <c r="K61" i="33"/>
  <c r="K66" i="33" s="1"/>
  <c r="L67" i="33" s="1"/>
  <c r="L84" i="33" s="1"/>
  <c r="P14" i="6"/>
  <c r="C8" i="16" s="1"/>
  <c r="C14" i="16" s="1"/>
  <c r="E16" i="26"/>
  <c r="E17" i="26" s="1"/>
  <c r="E75" i="26" s="1"/>
  <c r="I16" i="24"/>
  <c r="I17" i="24" s="1"/>
  <c r="I76" i="24" s="1"/>
  <c r="H65" i="22"/>
  <c r="I66" i="22" s="1"/>
  <c r="I83" i="22" s="1"/>
  <c r="K63" i="6"/>
  <c r="L64" i="6" s="1"/>
  <c r="L81" i="6" s="1"/>
  <c r="L82" i="6" s="1"/>
  <c r="L84" i="6" s="1"/>
  <c r="D66" i="33"/>
  <c r="E67" i="33" s="1"/>
  <c r="E84" i="33" s="1"/>
  <c r="H15" i="26"/>
  <c r="H61" i="26" s="1"/>
  <c r="H64" i="26" s="1"/>
  <c r="F15" i="14"/>
  <c r="F60" i="14" s="1"/>
  <c r="F63" i="14" s="1"/>
  <c r="K7" i="26"/>
  <c r="L8" i="26" s="1"/>
  <c r="L72" i="26" s="1"/>
  <c r="L74" i="26" s="1"/>
  <c r="K60" i="26"/>
  <c r="K65" i="26" s="1"/>
  <c r="L66" i="26" s="1"/>
  <c r="L83" i="26" s="1"/>
  <c r="AD50" i="22"/>
  <c r="AD54" i="22" s="1"/>
  <c r="L64" i="14"/>
  <c r="M65" i="14" s="1"/>
  <c r="M82" i="14" s="1"/>
  <c r="L7" i="32"/>
  <c r="M8" i="32" s="1"/>
  <c r="M71" i="32" s="1"/>
  <c r="M73" i="32" s="1"/>
  <c r="AD48" i="32" s="1"/>
  <c r="AD52" i="32" s="1"/>
  <c r="L59" i="32"/>
  <c r="L64" i="32" s="1"/>
  <c r="M65" i="32" s="1"/>
  <c r="M82" i="32" s="1"/>
  <c r="M83" i="32" s="1"/>
  <c r="AD53" i="32" s="1"/>
  <c r="AD55" i="32" s="1"/>
  <c r="F7" i="12"/>
  <c r="G8" i="12" s="1"/>
  <c r="I65" i="22"/>
  <c r="J66" i="22" s="1"/>
  <c r="J83" i="22" s="1"/>
  <c r="J84" i="22" s="1"/>
  <c r="AA55" i="22" s="1"/>
  <c r="AA57" i="22" s="1"/>
  <c r="I59" i="32"/>
  <c r="I64" i="32" s="1"/>
  <c r="J65" i="32" s="1"/>
  <c r="J82" i="32" s="1"/>
  <c r="J83" i="32" s="1"/>
  <c r="AA53" i="32" s="1"/>
  <c r="AA55" i="32" s="1"/>
  <c r="AA57" i="32" s="1"/>
  <c r="D7" i="22"/>
  <c r="E8" i="22" s="1"/>
  <c r="E72" i="22" s="1"/>
  <c r="E74" i="22" s="1"/>
  <c r="V50" i="22" s="1"/>
  <c r="V54" i="22" s="1"/>
  <c r="J7" i="32"/>
  <c r="K8" i="32" s="1"/>
  <c r="K71" i="32" s="1"/>
  <c r="K73" i="32" s="1"/>
  <c r="J59" i="32"/>
  <c r="J64" i="32" s="1"/>
  <c r="K65" i="32" s="1"/>
  <c r="K82" i="32" s="1"/>
  <c r="K83" i="32" s="1"/>
  <c r="AB53" i="32" s="1"/>
  <c r="AB55" i="32" s="1"/>
  <c r="H8" i="24"/>
  <c r="H73" i="24" s="1"/>
  <c r="H75" i="24" s="1"/>
  <c r="Y50" i="24" s="1"/>
  <c r="Y54" i="24" s="1"/>
  <c r="E7" i="6"/>
  <c r="F8" i="6" s="1"/>
  <c r="F70" i="6" s="1"/>
  <c r="F72" i="6" s="1"/>
  <c r="Q7" i="13"/>
  <c r="C44" i="13" s="1"/>
  <c r="C42" i="13" s="1"/>
  <c r="J15" i="6"/>
  <c r="J59" i="6" s="1"/>
  <c r="J62" i="6" s="1"/>
  <c r="J63" i="6" s="1"/>
  <c r="K64" i="6" s="1"/>
  <c r="K81" i="6" s="1"/>
  <c r="K82" i="6" s="1"/>
  <c r="K84" i="6" s="1"/>
  <c r="N82" i="6"/>
  <c r="N84" i="6" s="1"/>
  <c r="P14" i="26"/>
  <c r="T75" i="26" s="1"/>
  <c r="T81" i="26" s="1"/>
  <c r="L63" i="6"/>
  <c r="M64" i="6" s="1"/>
  <c r="M81" i="6" s="1"/>
  <c r="M82" i="6" s="1"/>
  <c r="I16" i="22"/>
  <c r="I17" i="22" s="1"/>
  <c r="I75" i="22" s="1"/>
  <c r="I61" i="22"/>
  <c r="I64" i="22" s="1"/>
  <c r="J66" i="24"/>
  <c r="K67" i="24" s="1"/>
  <c r="K84" i="24" s="1"/>
  <c r="N249" i="26"/>
  <c r="P250" i="26" s="1"/>
  <c r="AA270" i="26" s="1"/>
  <c r="AA267" i="26" s="1"/>
  <c r="M84" i="6"/>
  <c r="K7" i="22"/>
  <c r="L8" i="22" s="1"/>
  <c r="L72" i="22" s="1"/>
  <c r="L74" i="22" s="1"/>
  <c r="AC50" i="22" s="1"/>
  <c r="AC54" i="22" s="1"/>
  <c r="E7" i="22"/>
  <c r="F8" i="22" s="1"/>
  <c r="F72" i="22" s="1"/>
  <c r="F74" i="22" s="1"/>
  <c r="W50" i="22" s="1"/>
  <c r="W54" i="22" s="1"/>
  <c r="G7" i="14"/>
  <c r="H8" i="14" s="1"/>
  <c r="H71" i="14" s="1"/>
  <c r="H73" i="14" s="1"/>
  <c r="G59" i="14"/>
  <c r="G64" i="14" s="1"/>
  <c r="H65" i="14" s="1"/>
  <c r="H82" i="14" s="1"/>
  <c r="H83" i="14" s="1"/>
  <c r="Y53" i="14" s="1"/>
  <c r="Y55" i="14" s="1"/>
  <c r="E65" i="26"/>
  <c r="F66" i="26" s="1"/>
  <c r="F83" i="26" s="1"/>
  <c r="K16" i="33"/>
  <c r="K17" i="33" s="1"/>
  <c r="K76" i="33" s="1"/>
  <c r="I70" i="12"/>
  <c r="I72" i="12" s="1"/>
  <c r="Z47" i="12" s="1"/>
  <c r="Z51" i="12" s="1"/>
  <c r="Z5" i="12"/>
  <c r="Z6" i="12" s="1"/>
  <c r="Y7" i="12" s="1"/>
  <c r="L15" i="22"/>
  <c r="L61" i="22" s="1"/>
  <c r="L64" i="22" s="1"/>
  <c r="L65" i="22" s="1"/>
  <c r="M66" i="22" s="1"/>
  <c r="M83" i="22" s="1"/>
  <c r="M84" i="22" s="1"/>
  <c r="AD55" i="22" s="1"/>
  <c r="AD57" i="22" s="1"/>
  <c r="J15" i="33"/>
  <c r="J62" i="33" s="1"/>
  <c r="J65" i="33" s="1"/>
  <c r="J66" i="33" s="1"/>
  <c r="K67" i="33" s="1"/>
  <c r="K84" i="33" s="1"/>
  <c r="J7" i="24"/>
  <c r="K8" i="24" s="1"/>
  <c r="K73" i="24" s="1"/>
  <c r="K75" i="24" s="1"/>
  <c r="AB50" i="24" s="1"/>
  <c r="AB54" i="24" s="1"/>
  <c r="F64" i="14"/>
  <c r="G65" i="14" s="1"/>
  <c r="G82" i="14" s="1"/>
  <c r="F61" i="33"/>
  <c r="F66" i="33" s="1"/>
  <c r="G67" i="33" s="1"/>
  <c r="G84" i="33" s="1"/>
  <c r="F7" i="33"/>
  <c r="G8" i="33" s="1"/>
  <c r="G73" i="33" s="1"/>
  <c r="G75" i="33" s="1"/>
  <c r="X50" i="33" s="1"/>
  <c r="X54" i="33" s="1"/>
  <c r="E61" i="33"/>
  <c r="E66" i="33" s="1"/>
  <c r="F67" i="33" s="1"/>
  <c r="F84" i="33" s="1"/>
  <c r="E7" i="33"/>
  <c r="F8" i="33" s="1"/>
  <c r="F73" i="33" s="1"/>
  <c r="F75" i="33" s="1"/>
  <c r="W50" i="33" s="1"/>
  <c r="W54" i="33" s="1"/>
  <c r="I83" i="32"/>
  <c r="X48" i="14"/>
  <c r="X52" i="14" s="1"/>
  <c r="N96" i="14"/>
  <c r="N105" i="14" s="1"/>
  <c r="G16" i="22"/>
  <c r="G17" i="22" s="1"/>
  <c r="G75" i="22" s="1"/>
  <c r="D92" i="6"/>
  <c r="F7" i="26"/>
  <c r="G8" i="26" s="1"/>
  <c r="G72" i="26" s="1"/>
  <c r="G74" i="26" s="1"/>
  <c r="X50" i="26" s="1"/>
  <c r="X54" i="26" s="1"/>
  <c r="K84" i="26"/>
  <c r="AB55" i="26" s="1"/>
  <c r="AB57" i="26" s="1"/>
  <c r="H16" i="22"/>
  <c r="H17" i="22" s="1"/>
  <c r="H75" i="22" s="1"/>
  <c r="C16" i="26"/>
  <c r="C17" i="26" s="1"/>
  <c r="C75" i="26" s="1"/>
  <c r="C84" i="26" s="1"/>
  <c r="T55" i="26" s="1"/>
  <c r="T57" i="26" s="1"/>
  <c r="T59" i="26" s="1"/>
  <c r="T60" i="26" s="1"/>
  <c r="U58" i="26" s="1"/>
  <c r="AE9" i="12"/>
  <c r="I16" i="33"/>
  <c r="I17" i="33" s="1"/>
  <c r="I76" i="33" s="1"/>
  <c r="I15" i="6"/>
  <c r="I59" i="6" s="1"/>
  <c r="I62" i="6" s="1"/>
  <c r="I63" i="6" s="1"/>
  <c r="J64" i="6" s="1"/>
  <c r="J81" i="6" s="1"/>
  <c r="I16" i="6"/>
  <c r="I17" i="6" s="1"/>
  <c r="I73" i="6" s="1"/>
  <c r="I82" i="6" s="1"/>
  <c r="I84" i="6" s="1"/>
  <c r="X50" i="22"/>
  <c r="X54" i="22" s="1"/>
  <c r="C96" i="32"/>
  <c r="E96" i="32"/>
  <c r="H96" i="32"/>
  <c r="K96" i="32"/>
  <c r="T70" i="32"/>
  <c r="T72" i="32" s="1"/>
  <c r="G96" i="32"/>
  <c r="L96" i="32"/>
  <c r="F96" i="32"/>
  <c r="D96" i="32"/>
  <c r="J96" i="32"/>
  <c r="M96" i="32"/>
  <c r="N96" i="32"/>
  <c r="I96" i="32"/>
  <c r="Z50" i="22"/>
  <c r="Z54" i="22" s="1"/>
  <c r="C7" i="32"/>
  <c r="D8" i="32" s="1"/>
  <c r="D71" i="32" s="1"/>
  <c r="D73" i="32" s="1"/>
  <c r="E197" i="26"/>
  <c r="E189" i="26"/>
  <c r="E244" i="26" s="1"/>
  <c r="H60" i="26"/>
  <c r="H7" i="26"/>
  <c r="I8" i="26" s="1"/>
  <c r="I72" i="26" s="1"/>
  <c r="I74" i="26" s="1"/>
  <c r="J106" i="26"/>
  <c r="J98" i="26"/>
  <c r="J152" i="26" s="1"/>
  <c r="J188" i="26"/>
  <c r="AE55" i="24"/>
  <c r="AE57" i="24" s="1"/>
  <c r="G65" i="22"/>
  <c r="H66" i="22" s="1"/>
  <c r="H83" i="22" s="1"/>
  <c r="W48" i="32"/>
  <c r="W52" i="32" s="1"/>
  <c r="D15" i="24"/>
  <c r="D62" i="24" s="1"/>
  <c r="D65" i="24" s="1"/>
  <c r="D66" i="24" s="1"/>
  <c r="E67" i="24" s="1"/>
  <c r="E84" i="24" s="1"/>
  <c r="W81" i="33"/>
  <c r="C101" i="33"/>
  <c r="C165" i="33" s="1"/>
  <c r="C167" i="33" s="1"/>
  <c r="T150" i="33" s="1"/>
  <c r="T154" i="33" s="1"/>
  <c r="C107" i="26"/>
  <c r="C153" i="26" s="1"/>
  <c r="C156" i="26" s="1"/>
  <c r="P97" i="26"/>
  <c r="I15" i="12"/>
  <c r="I59" i="12" s="1"/>
  <c r="I62" i="12" s="1"/>
  <c r="I63" i="12" s="1"/>
  <c r="J64" i="12" s="1"/>
  <c r="J81" i="12" s="1"/>
  <c r="J82" i="12" s="1"/>
  <c r="T4" i="6"/>
  <c r="T6" i="6" s="1"/>
  <c r="K97" i="22"/>
  <c r="L97" i="22"/>
  <c r="T72" i="22"/>
  <c r="T74" i="22" s="1"/>
  <c r="M97" i="22"/>
  <c r="N97" i="22"/>
  <c r="E97" i="22"/>
  <c r="F97" i="22"/>
  <c r="G97" i="22"/>
  <c r="H97" i="22"/>
  <c r="J97" i="22"/>
  <c r="D97" i="22"/>
  <c r="C97" i="22"/>
  <c r="I97" i="22"/>
  <c r="AC55" i="24"/>
  <c r="AC57" i="24" s="1"/>
  <c r="F16" i="33"/>
  <c r="F17" i="33" s="1"/>
  <c r="F76" i="33" s="1"/>
  <c r="C159" i="24"/>
  <c r="C176" i="24" s="1"/>
  <c r="AA82" i="24"/>
  <c r="C92" i="6"/>
  <c r="C101" i="6" s="1"/>
  <c r="Y50" i="22"/>
  <c r="Y54" i="22" s="1"/>
  <c r="E15" i="24"/>
  <c r="E62" i="24" s="1"/>
  <c r="E65" i="24" s="1"/>
  <c r="E66" i="24" s="1"/>
  <c r="F67" i="24" s="1"/>
  <c r="F84" i="24" s="1"/>
  <c r="D98" i="33"/>
  <c r="C98" i="33"/>
  <c r="F98" i="33"/>
  <c r="I98" i="33"/>
  <c r="G98" i="33"/>
  <c r="K98" i="33"/>
  <c r="M98" i="33"/>
  <c r="L98" i="33"/>
  <c r="E98" i="33"/>
  <c r="N98" i="33"/>
  <c r="J98" i="33"/>
  <c r="T72" i="33"/>
  <c r="T74" i="33" s="1"/>
  <c r="H98" i="33"/>
  <c r="W47" i="12"/>
  <c r="W51" i="12" s="1"/>
  <c r="N92" i="6"/>
  <c r="N93" i="6" s="1"/>
  <c r="N146" i="6" s="1"/>
  <c r="V48" i="14"/>
  <c r="V52" i="14" s="1"/>
  <c r="C15" i="24"/>
  <c r="C62" i="24" s="1"/>
  <c r="C65" i="24" s="1"/>
  <c r="C66" i="24" s="1"/>
  <c r="D67" i="24" s="1"/>
  <c r="D84" i="24" s="1"/>
  <c r="P14" i="24"/>
  <c r="T75" i="24" s="1"/>
  <c r="T81" i="24" s="1"/>
  <c r="I16" i="26"/>
  <c r="I17" i="26" s="1"/>
  <c r="I75" i="26" s="1"/>
  <c r="L7" i="33"/>
  <c r="M8" i="33" s="1"/>
  <c r="M73" i="33" s="1"/>
  <c r="M75" i="33" s="1"/>
  <c r="W77" i="12"/>
  <c r="C98" i="12"/>
  <c r="C161" i="12" s="1"/>
  <c r="C163" i="12" s="1"/>
  <c r="N15" i="33"/>
  <c r="N62" i="33" s="1"/>
  <c r="N65" i="33" s="1"/>
  <c r="N66" i="33" s="1"/>
  <c r="P67" i="33" s="1"/>
  <c r="X52" i="12"/>
  <c r="X54" i="12" s="1"/>
  <c r="X10" i="12"/>
  <c r="X12" i="12" s="1"/>
  <c r="AB50" i="22"/>
  <c r="AB54" i="22" s="1"/>
  <c r="E16" i="12"/>
  <c r="E17" i="12" s="1"/>
  <c r="E73" i="12" s="1"/>
  <c r="N107" i="26"/>
  <c r="N153" i="26" s="1"/>
  <c r="N156" i="26" s="1"/>
  <c r="G15" i="32"/>
  <c r="G60" i="32" s="1"/>
  <c r="G63" i="32" s="1"/>
  <c r="D16" i="12"/>
  <c r="D17" i="12" s="1"/>
  <c r="D73" i="12" s="1"/>
  <c r="I15" i="14"/>
  <c r="I60" i="14" s="1"/>
  <c r="I63" i="14" s="1"/>
  <c r="I64" i="14" s="1"/>
  <c r="J65" i="14" s="1"/>
  <c r="J82" i="14" s="1"/>
  <c r="AE50" i="33"/>
  <c r="AE54" i="33" s="1"/>
  <c r="AA48" i="14"/>
  <c r="AA52" i="14" s="1"/>
  <c r="AC53" i="14"/>
  <c r="AC55" i="14" s="1"/>
  <c r="H105" i="14"/>
  <c r="H97" i="14"/>
  <c r="H150" i="14" s="1"/>
  <c r="M7" i="26"/>
  <c r="N8" i="26" s="1"/>
  <c r="N72" i="26" s="1"/>
  <c r="N74" i="26" s="1"/>
  <c r="M60" i="26"/>
  <c r="H98" i="24"/>
  <c r="I98" i="24"/>
  <c r="J98" i="24"/>
  <c r="C98" i="24"/>
  <c r="D98" i="24"/>
  <c r="T72" i="24"/>
  <c r="T74" i="24" s="1"/>
  <c r="E98" i="24"/>
  <c r="G98" i="24"/>
  <c r="M98" i="24"/>
  <c r="N98" i="24"/>
  <c r="L98" i="24"/>
  <c r="F98" i="24"/>
  <c r="K98" i="24"/>
  <c r="Y55" i="24"/>
  <c r="Y57" i="24" s="1"/>
  <c r="Y59" i="24" s="1"/>
  <c r="H87" i="24"/>
  <c r="F7" i="6"/>
  <c r="G8" i="6" s="1"/>
  <c r="G70" i="6" s="1"/>
  <c r="G72" i="6" s="1"/>
  <c r="F58" i="6"/>
  <c r="F63" i="6" s="1"/>
  <c r="G64" i="6" s="1"/>
  <c r="G81" i="6" s="1"/>
  <c r="G82" i="6" s="1"/>
  <c r="G84" i="6" s="1"/>
  <c r="N15" i="12"/>
  <c r="N59" i="12" s="1"/>
  <c r="N62" i="12" s="1"/>
  <c r="N63" i="12" s="1"/>
  <c r="P64" i="12" s="1"/>
  <c r="AA78" i="12" s="1"/>
  <c r="AA75" i="12" s="1"/>
  <c r="J15" i="14"/>
  <c r="J60" i="14" s="1"/>
  <c r="J63" i="14" s="1"/>
  <c r="J64" i="14" s="1"/>
  <c r="K65" i="14" s="1"/>
  <c r="K82" i="14" s="1"/>
  <c r="K83" i="14" s="1"/>
  <c r="AB53" i="14" s="1"/>
  <c r="AB55" i="14" s="1"/>
  <c r="L70" i="12"/>
  <c r="L72" i="12" s="1"/>
  <c r="AC5" i="12"/>
  <c r="H197" i="26"/>
  <c r="H189" i="26"/>
  <c r="H244" i="26" s="1"/>
  <c r="D15" i="22"/>
  <c r="D61" i="22" s="1"/>
  <c r="D64" i="22" s="1"/>
  <c r="D65" i="22" s="1"/>
  <c r="E66" i="22" s="1"/>
  <c r="E83" i="22" s="1"/>
  <c r="C61" i="33"/>
  <c r="C7" i="33"/>
  <c r="D8" i="33" s="1"/>
  <c r="D73" i="33" s="1"/>
  <c r="D75" i="33" s="1"/>
  <c r="C197" i="26"/>
  <c r="C189" i="26"/>
  <c r="C244" i="26" s="1"/>
  <c r="N152" i="26"/>
  <c r="N99" i="26"/>
  <c r="P100" i="26" s="1"/>
  <c r="W174" i="26" s="1"/>
  <c r="Y174" i="26" s="1"/>
  <c r="AA5" i="12"/>
  <c r="J70" i="12"/>
  <c r="J72" i="12" s="1"/>
  <c r="AA55" i="24"/>
  <c r="AA57" i="24" s="1"/>
  <c r="C5" i="16"/>
  <c r="C7" i="16" s="1"/>
  <c r="C5" i="5"/>
  <c r="L15" i="12"/>
  <c r="L59" i="12" s="1"/>
  <c r="L62" i="12" s="1"/>
  <c r="L63" i="12" s="1"/>
  <c r="M64" i="12" s="1"/>
  <c r="M81" i="12" s="1"/>
  <c r="F15" i="24"/>
  <c r="F62" i="24" s="1"/>
  <c r="F65" i="24" s="1"/>
  <c r="F66" i="24" s="1"/>
  <c r="G67" i="24" s="1"/>
  <c r="G84" i="24" s="1"/>
  <c r="G85" i="24" s="1"/>
  <c r="X55" i="24" s="1"/>
  <c r="X57" i="24" s="1"/>
  <c r="J7" i="12"/>
  <c r="K8" i="12" s="1"/>
  <c r="C63" i="12"/>
  <c r="D64" i="12" s="1"/>
  <c r="D81" i="12" s="1"/>
  <c r="J92" i="6"/>
  <c r="J93" i="6" s="1"/>
  <c r="J146" i="6" s="1"/>
  <c r="K197" i="26"/>
  <c r="K189" i="26"/>
  <c r="K244" i="26" s="1"/>
  <c r="C100" i="22"/>
  <c r="C164" i="22" s="1"/>
  <c r="C166" i="22" s="1"/>
  <c r="T150" i="22" s="1"/>
  <c r="T154" i="22" s="1"/>
  <c r="W81" i="22"/>
  <c r="C158" i="22"/>
  <c r="C175" i="22" s="1"/>
  <c r="AA82" i="22"/>
  <c r="F82" i="12"/>
  <c r="E15" i="22"/>
  <c r="E61" i="22" s="1"/>
  <c r="E64" i="22" s="1"/>
  <c r="E65" i="22" s="1"/>
  <c r="F66" i="22" s="1"/>
  <c r="F83" i="22" s="1"/>
  <c r="H92" i="6"/>
  <c r="H93" i="6" s="1"/>
  <c r="H146" i="6" s="1"/>
  <c r="C7" i="22"/>
  <c r="D8" i="22" s="1"/>
  <c r="D72" i="22" s="1"/>
  <c r="D74" i="22" s="1"/>
  <c r="I98" i="26"/>
  <c r="I152" i="26" s="1"/>
  <c r="I188" i="26"/>
  <c r="I106" i="26"/>
  <c r="K16" i="24"/>
  <c r="K17" i="24" s="1"/>
  <c r="K76" i="24" s="1"/>
  <c r="D107" i="26"/>
  <c r="D153" i="26" s="1"/>
  <c r="D156" i="26" s="1"/>
  <c r="D157" i="26" s="1"/>
  <c r="E158" i="26" s="1"/>
  <c r="E175" i="26" s="1"/>
  <c r="D108" i="26"/>
  <c r="D109" i="26" s="1"/>
  <c r="D167" i="26" s="1"/>
  <c r="D63" i="12"/>
  <c r="E64" i="12" s="1"/>
  <c r="E81" i="12" s="1"/>
  <c r="W81" i="26"/>
  <c r="I85" i="33"/>
  <c r="AB48" i="14"/>
  <c r="AB52" i="14" s="1"/>
  <c r="C8" i="24"/>
  <c r="C73" i="24" s="1"/>
  <c r="C75" i="24" s="1"/>
  <c r="F152" i="26"/>
  <c r="F157" i="26" s="1"/>
  <c r="G158" i="26" s="1"/>
  <c r="G175" i="26" s="1"/>
  <c r="F99" i="26"/>
  <c r="F100" i="26" s="1"/>
  <c r="F164" i="26" s="1"/>
  <c r="F166" i="26" s="1"/>
  <c r="P14" i="32"/>
  <c r="T73" i="32" s="1"/>
  <c r="T79" i="32" s="1"/>
  <c r="C15" i="32"/>
  <c r="C60" i="32" s="1"/>
  <c r="C63" i="32" s="1"/>
  <c r="C64" i="32" s="1"/>
  <c r="D65" i="32" s="1"/>
  <c r="D82" i="32" s="1"/>
  <c r="D83" i="32" s="1"/>
  <c r="U53" i="32" s="1"/>
  <c r="U55" i="32" s="1"/>
  <c r="F189" i="26"/>
  <c r="F244" i="26" s="1"/>
  <c r="F197" i="26"/>
  <c r="E107" i="26"/>
  <c r="E153" i="26" s="1"/>
  <c r="E156" i="26" s="1"/>
  <c r="E157" i="26" s="1"/>
  <c r="F158" i="26" s="1"/>
  <c r="F175" i="26" s="1"/>
  <c r="F176" i="26" s="1"/>
  <c r="W155" i="26" s="1"/>
  <c r="W157" i="26" s="1"/>
  <c r="C15" i="33"/>
  <c r="C62" i="33" s="1"/>
  <c r="C65" i="33" s="1"/>
  <c r="P14" i="33"/>
  <c r="T75" i="33" s="1"/>
  <c r="T81" i="33" s="1"/>
  <c r="H70" i="12"/>
  <c r="H72" i="12" s="1"/>
  <c r="Y5" i="12"/>
  <c r="F15" i="22"/>
  <c r="F61" i="22" s="1"/>
  <c r="F64" i="22" s="1"/>
  <c r="F65" i="22" s="1"/>
  <c r="G66" i="22" s="1"/>
  <c r="G83" i="22" s="1"/>
  <c r="G7" i="32"/>
  <c r="H8" i="32" s="1"/>
  <c r="H71" i="32" s="1"/>
  <c r="H73" i="32" s="1"/>
  <c r="G59" i="32"/>
  <c r="L106" i="26"/>
  <c r="L98" i="26"/>
  <c r="L152" i="26" s="1"/>
  <c r="L188" i="26"/>
  <c r="P14" i="22"/>
  <c r="T75" i="22" s="1"/>
  <c r="T81" i="22" s="1"/>
  <c r="C15" i="22"/>
  <c r="C61" i="22" s="1"/>
  <c r="C64" i="22" s="1"/>
  <c r="C65" i="22" s="1"/>
  <c r="D66" i="22" s="1"/>
  <c r="D83" i="22" s="1"/>
  <c r="M188" i="26"/>
  <c r="M106" i="26"/>
  <c r="M98" i="26"/>
  <c r="M152" i="26" s="1"/>
  <c r="F15" i="26"/>
  <c r="F61" i="26" s="1"/>
  <c r="F64" i="26" s="1"/>
  <c r="F65" i="26" s="1"/>
  <c r="G66" i="26" s="1"/>
  <c r="G83" i="26" s="1"/>
  <c r="L15" i="33"/>
  <c r="L62" i="33" s="1"/>
  <c r="L65" i="33" s="1"/>
  <c r="L66" i="33" s="1"/>
  <c r="M67" i="33" s="1"/>
  <c r="M84" i="33" s="1"/>
  <c r="M85" i="33" s="1"/>
  <c r="AD55" i="33" s="1"/>
  <c r="AD57" i="33" s="1"/>
  <c r="H82" i="6"/>
  <c r="H84" i="6" s="1"/>
  <c r="U5" i="12"/>
  <c r="D70" i="12"/>
  <c r="D72" i="12" s="1"/>
  <c r="K92" i="6"/>
  <c r="K101" i="6" s="1"/>
  <c r="M15" i="26"/>
  <c r="M61" i="26" s="1"/>
  <c r="M64" i="26" s="1"/>
  <c r="D15" i="26"/>
  <c r="D61" i="26" s="1"/>
  <c r="D64" i="26" s="1"/>
  <c r="D65" i="26" s="1"/>
  <c r="E66" i="26" s="1"/>
  <c r="E83" i="26" s="1"/>
  <c r="AD5" i="12"/>
  <c r="M70" i="12"/>
  <c r="M72" i="12" s="1"/>
  <c r="G15" i="33"/>
  <c r="G62" i="33" s="1"/>
  <c r="G65" i="33" s="1"/>
  <c r="P14" i="12"/>
  <c r="T71" i="12" s="1"/>
  <c r="T77" i="12" s="1"/>
  <c r="T78" i="12" s="1"/>
  <c r="T83" i="12" s="1"/>
  <c r="T85" i="12" s="1"/>
  <c r="AA73" i="12" s="1"/>
  <c r="I92" i="6"/>
  <c r="I93" i="6" s="1"/>
  <c r="I146" i="6" s="1"/>
  <c r="K107" i="26"/>
  <c r="K153" i="26" s="1"/>
  <c r="K156" i="26" s="1"/>
  <c r="K157" i="26" s="1"/>
  <c r="L158" i="26" s="1"/>
  <c r="L175" i="26" s="1"/>
  <c r="P7" i="36"/>
  <c r="T72" i="26"/>
  <c r="T74" i="26" s="1"/>
  <c r="T82" i="26" s="1"/>
  <c r="T87" i="26" s="1"/>
  <c r="T89" i="26" s="1"/>
  <c r="AA77" i="26" s="1"/>
  <c r="N7" i="32"/>
  <c r="P8" i="32" s="1"/>
  <c r="W79" i="14"/>
  <c r="C99" i="14"/>
  <c r="C162" i="14" s="1"/>
  <c r="C164" i="14" s="1"/>
  <c r="T145" i="14" s="1"/>
  <c r="T149" i="14" s="1"/>
  <c r="X48" i="32"/>
  <c r="X52" i="32" s="1"/>
  <c r="D99" i="26"/>
  <c r="K15" i="22"/>
  <c r="K61" i="22" s="1"/>
  <c r="K64" i="22" s="1"/>
  <c r="K65" i="22" s="1"/>
  <c r="L66" i="22" s="1"/>
  <c r="L83" i="22" s="1"/>
  <c r="K82" i="12"/>
  <c r="N15" i="32"/>
  <c r="N60" i="32" s="1"/>
  <c r="N63" i="32" s="1"/>
  <c r="N64" i="32" s="1"/>
  <c r="P65" i="32" s="1"/>
  <c r="N16" i="32"/>
  <c r="N17" i="32" s="1"/>
  <c r="N74" i="32" s="1"/>
  <c r="N83" i="32" s="1"/>
  <c r="N15" i="14"/>
  <c r="N60" i="14" s="1"/>
  <c r="N63" i="14" s="1"/>
  <c r="N64" i="14" s="1"/>
  <c r="P65" i="14" s="1"/>
  <c r="G61" i="33"/>
  <c r="G7" i="33"/>
  <c r="H8" i="33" s="1"/>
  <c r="H73" i="33" s="1"/>
  <c r="H75" i="33" s="1"/>
  <c r="G92" i="6"/>
  <c r="G93" i="6" s="1"/>
  <c r="G146" i="6" s="1"/>
  <c r="G188" i="26"/>
  <c r="G98" i="26"/>
  <c r="G152" i="26" s="1"/>
  <c r="G106" i="26"/>
  <c r="F92" i="6"/>
  <c r="F93" i="6" s="1"/>
  <c r="F146" i="6" s="1"/>
  <c r="AA50" i="22"/>
  <c r="AA54" i="22" s="1"/>
  <c r="P14" i="14"/>
  <c r="T73" i="14" s="1"/>
  <c r="D189" i="26"/>
  <c r="D244" i="26" s="1"/>
  <c r="D197" i="26"/>
  <c r="D190" i="26"/>
  <c r="K64" i="32"/>
  <c r="L65" i="32" s="1"/>
  <c r="L82" i="32" s="1"/>
  <c r="L83" i="32" s="1"/>
  <c r="AC53" i="32" s="1"/>
  <c r="AC55" i="32" s="1"/>
  <c r="D7" i="24"/>
  <c r="D7" i="12"/>
  <c r="E8" i="12" s="1"/>
  <c r="T10" i="12"/>
  <c r="T12" i="12" s="1"/>
  <c r="D257" i="6"/>
  <c r="D229" i="6"/>
  <c r="K252" i="6"/>
  <c r="P208" i="6"/>
  <c r="T185" i="6" s="1"/>
  <c r="L210" i="6"/>
  <c r="L253" i="6" s="1"/>
  <c r="P209" i="6"/>
  <c r="T186" i="6" s="1"/>
  <c r="U204" i="6"/>
  <c r="U114" i="6"/>
  <c r="U125" i="6" s="1"/>
  <c r="V115" i="6"/>
  <c r="V114" i="6" s="1"/>
  <c r="M101" i="6"/>
  <c r="M93" i="6"/>
  <c r="M146" i="6" s="1"/>
  <c r="M94" i="6"/>
  <c r="N95" i="6" s="1"/>
  <c r="N158" i="6" s="1"/>
  <c r="N160" i="6" s="1"/>
  <c r="L101" i="6"/>
  <c r="L93" i="6"/>
  <c r="L146" i="6" s="1"/>
  <c r="E101" i="6"/>
  <c r="E93" i="6"/>
  <c r="E146" i="6" s="1"/>
  <c r="D93" i="6"/>
  <c r="D146" i="6" s="1"/>
  <c r="D101" i="6"/>
  <c r="F84" i="41" l="1"/>
  <c r="I82" i="41"/>
  <c r="I84" i="41" s="1"/>
  <c r="C16" i="41"/>
  <c r="C17" i="41" s="1"/>
  <c r="C73" i="41" s="1"/>
  <c r="M82" i="41"/>
  <c r="D82" i="41"/>
  <c r="D84" i="41" s="1"/>
  <c r="E82" i="41"/>
  <c r="E84" i="41" s="1"/>
  <c r="C82" i="41"/>
  <c r="C84" i="41" s="1"/>
  <c r="C85" i="41" s="1"/>
  <c r="D83" i="41" s="1"/>
  <c r="N84" i="41"/>
  <c r="T13" i="41"/>
  <c r="T14" i="41" s="1"/>
  <c r="T19" i="41" s="1"/>
  <c r="T21" i="41" s="1"/>
  <c r="X31" i="41" s="1"/>
  <c r="G16" i="41"/>
  <c r="G17" i="41" s="1"/>
  <c r="G73" i="41" s="1"/>
  <c r="G82" i="41" s="1"/>
  <c r="G84" i="41" s="1"/>
  <c r="K16" i="41"/>
  <c r="K17" i="41" s="1"/>
  <c r="K73" i="41" s="1"/>
  <c r="K82" i="41" s="1"/>
  <c r="K84" i="41" s="1"/>
  <c r="C95" i="41"/>
  <c r="C158" i="41" s="1"/>
  <c r="C160" i="41" s="1"/>
  <c r="D85" i="41"/>
  <c r="E83" i="41" s="1"/>
  <c r="E85" i="41" s="1"/>
  <c r="F83" i="41" s="1"/>
  <c r="F85" i="41" s="1"/>
  <c r="G83" i="41" s="1"/>
  <c r="E93" i="41"/>
  <c r="E146" i="41" s="1"/>
  <c r="E101" i="41"/>
  <c r="F101" i="41"/>
  <c r="F93" i="41"/>
  <c r="F146" i="41" s="1"/>
  <c r="G93" i="41"/>
  <c r="G146" i="41" s="1"/>
  <c r="G94" i="41"/>
  <c r="H95" i="41" s="1"/>
  <c r="H158" i="41" s="1"/>
  <c r="H160" i="41" s="1"/>
  <c r="G101" i="41"/>
  <c r="H93" i="41"/>
  <c r="H146" i="41" s="1"/>
  <c r="H101" i="41"/>
  <c r="I93" i="41"/>
  <c r="I146" i="41" s="1"/>
  <c r="I101" i="41"/>
  <c r="C101" i="41"/>
  <c r="C93" i="41"/>
  <c r="C146" i="41" s="1"/>
  <c r="P92" i="41"/>
  <c r="T91" i="41" s="1"/>
  <c r="L82" i="41"/>
  <c r="L84" i="41" s="1"/>
  <c r="J93" i="41"/>
  <c r="J146" i="41" s="1"/>
  <c r="J101" i="41"/>
  <c r="K101" i="41"/>
  <c r="K93" i="41"/>
  <c r="K146" i="41" s="1"/>
  <c r="J16" i="41"/>
  <c r="J17" i="41" s="1"/>
  <c r="J73" i="41" s="1"/>
  <c r="J82" i="41" s="1"/>
  <c r="J84" i="41" s="1"/>
  <c r="L101" i="41"/>
  <c r="L93" i="41"/>
  <c r="L146" i="41" s="1"/>
  <c r="V114" i="41"/>
  <c r="M101" i="41"/>
  <c r="M93" i="41"/>
  <c r="M146" i="41" s="1"/>
  <c r="C152" i="41"/>
  <c r="C169" i="41" s="1"/>
  <c r="X33" i="41"/>
  <c r="N101" i="41"/>
  <c r="N93" i="41"/>
  <c r="N146" i="41" s="1"/>
  <c r="T205" i="41"/>
  <c r="V206" i="41"/>
  <c r="V205" i="41" s="1"/>
  <c r="D101" i="41"/>
  <c r="D93" i="41"/>
  <c r="D146" i="41" s="1"/>
  <c r="M84" i="41"/>
  <c r="L105" i="14"/>
  <c r="T52" i="12"/>
  <c r="T54" i="12" s="1"/>
  <c r="T56" i="12" s="1"/>
  <c r="T57" i="12" s="1"/>
  <c r="U55" i="12" s="1"/>
  <c r="M82" i="12"/>
  <c r="AD10" i="12" s="1"/>
  <c r="AD12" i="12" s="1"/>
  <c r="H84" i="22"/>
  <c r="Y55" i="22" s="1"/>
  <c r="Y57" i="22" s="1"/>
  <c r="J97" i="14"/>
  <c r="J150" i="14" s="1"/>
  <c r="C99" i="26"/>
  <c r="D100" i="26" s="1"/>
  <c r="D164" i="26" s="1"/>
  <c r="D166" i="26" s="1"/>
  <c r="U150" i="26" s="1"/>
  <c r="U154" i="26" s="1"/>
  <c r="D105" i="14"/>
  <c r="D106" i="14" s="1"/>
  <c r="D151" i="14" s="1"/>
  <c r="D154" i="14" s="1"/>
  <c r="D155" i="14" s="1"/>
  <c r="E156" i="14" s="1"/>
  <c r="E173" i="14" s="1"/>
  <c r="E8" i="26"/>
  <c r="E72" i="26" s="1"/>
  <c r="E74" i="26" s="1"/>
  <c r="V50" i="26" s="1"/>
  <c r="V54" i="26" s="1"/>
  <c r="J86" i="22"/>
  <c r="AA59" i="22"/>
  <c r="N86" i="22"/>
  <c r="H190" i="26"/>
  <c r="L16" i="22"/>
  <c r="L17" i="22" s="1"/>
  <c r="L75" i="22" s="1"/>
  <c r="AA82" i="26"/>
  <c r="C158" i="26"/>
  <c r="C175" i="26" s="1"/>
  <c r="K15" i="16"/>
  <c r="K12" i="16" s="1"/>
  <c r="N97" i="14"/>
  <c r="N150" i="14" s="1"/>
  <c r="C152" i="6"/>
  <c r="C169" i="6" s="1"/>
  <c r="E83" i="32"/>
  <c r="E85" i="32" s="1"/>
  <c r="K97" i="14"/>
  <c r="K150" i="14" s="1"/>
  <c r="J85" i="32"/>
  <c r="M8" i="24"/>
  <c r="M73" i="24" s="1"/>
  <c r="M75" i="24" s="1"/>
  <c r="AD50" i="24" s="1"/>
  <c r="AD54" i="24" s="1"/>
  <c r="AD59" i="24" s="1"/>
  <c r="M83" i="14"/>
  <c r="AD53" i="14" s="1"/>
  <c r="AD55" i="14" s="1"/>
  <c r="AD57" i="14" s="1"/>
  <c r="L84" i="26"/>
  <c r="AC55" i="26" s="1"/>
  <c r="AC57" i="26" s="1"/>
  <c r="C105" i="14"/>
  <c r="G97" i="14"/>
  <c r="G150" i="14" s="1"/>
  <c r="E8" i="24"/>
  <c r="E73" i="24" s="1"/>
  <c r="E75" i="24" s="1"/>
  <c r="V50" i="24" s="1"/>
  <c r="V54" i="24" s="1"/>
  <c r="E85" i="33"/>
  <c r="V55" i="33" s="1"/>
  <c r="V57" i="33" s="1"/>
  <c r="V59" i="33" s="1"/>
  <c r="C94" i="6"/>
  <c r="D95" i="6" s="1"/>
  <c r="D158" i="6" s="1"/>
  <c r="D160" i="6" s="1"/>
  <c r="H8" i="26"/>
  <c r="H72" i="26" s="1"/>
  <c r="H74" i="26" s="1"/>
  <c r="Y50" i="26" s="1"/>
  <c r="Y54" i="26" s="1"/>
  <c r="Y59" i="26" s="1"/>
  <c r="K8" i="26"/>
  <c r="K72" i="26" s="1"/>
  <c r="K74" i="26" s="1"/>
  <c r="AB50" i="26" s="1"/>
  <c r="AB54" i="26" s="1"/>
  <c r="AB59" i="26" s="1"/>
  <c r="C93" i="6"/>
  <c r="C146" i="6" s="1"/>
  <c r="E100" i="26"/>
  <c r="E164" i="26" s="1"/>
  <c r="E166" i="26" s="1"/>
  <c r="I85" i="24"/>
  <c r="D82" i="12"/>
  <c r="C16" i="24"/>
  <c r="C17" i="24" s="1"/>
  <c r="C76" i="24" s="1"/>
  <c r="C85" i="24" s="1"/>
  <c r="T55" i="24" s="1"/>
  <c r="T57" i="24" s="1"/>
  <c r="U53" i="14"/>
  <c r="U55" i="14" s="1"/>
  <c r="U57" i="14" s="1"/>
  <c r="U58" i="14" s="1"/>
  <c r="V56" i="14" s="1"/>
  <c r="D85" i="14"/>
  <c r="D86" i="14" s="1"/>
  <c r="E84" i="14" s="1"/>
  <c r="AA50" i="26"/>
  <c r="AA54" i="26" s="1"/>
  <c r="AA59" i="26" s="1"/>
  <c r="J86" i="26"/>
  <c r="I150" i="14"/>
  <c r="I98" i="14"/>
  <c r="J99" i="14" s="1"/>
  <c r="J162" i="14" s="1"/>
  <c r="J164" i="14" s="1"/>
  <c r="AA145" i="14" s="1"/>
  <c r="AA149" i="14" s="1"/>
  <c r="W53" i="32"/>
  <c r="W55" i="32" s="1"/>
  <c r="W57" i="32" s="1"/>
  <c r="F85" i="32"/>
  <c r="V53" i="14"/>
  <c r="V55" i="14" s="1"/>
  <c r="V57" i="14" s="1"/>
  <c r="E85" i="14"/>
  <c r="AC50" i="24"/>
  <c r="AC54" i="24" s="1"/>
  <c r="AC59" i="24" s="1"/>
  <c r="L87" i="24"/>
  <c r="C150" i="14"/>
  <c r="C98" i="14"/>
  <c r="D99" i="14" s="1"/>
  <c r="D162" i="14" s="1"/>
  <c r="D164" i="14" s="1"/>
  <c r="C16" i="22"/>
  <c r="C17" i="22" s="1"/>
  <c r="C75" i="22" s="1"/>
  <c r="C84" i="22" s="1"/>
  <c r="I99" i="26"/>
  <c r="D8" i="26"/>
  <c r="D72" i="26" s="1"/>
  <c r="D74" i="26" s="1"/>
  <c r="U50" i="26" s="1"/>
  <c r="U54" i="26" s="1"/>
  <c r="L85" i="14"/>
  <c r="Y254" i="32"/>
  <c r="Y252" i="32" s="1"/>
  <c r="X252" i="32"/>
  <c r="X263" i="32" s="1"/>
  <c r="C65" i="7"/>
  <c r="C82" i="7" s="1"/>
  <c r="C16" i="32"/>
  <c r="C17" i="32" s="1"/>
  <c r="C74" i="32" s="1"/>
  <c r="C83" i="32" s="1"/>
  <c r="T53" i="32" s="1"/>
  <c r="T55" i="32" s="1"/>
  <c r="T57" i="32" s="1"/>
  <c r="T58" i="32" s="1"/>
  <c r="U56" i="32" s="1"/>
  <c r="D16" i="22"/>
  <c r="D17" i="22" s="1"/>
  <c r="D75" i="22" s="1"/>
  <c r="D84" i="22" s="1"/>
  <c r="U55" i="22" s="1"/>
  <c r="U57" i="22" s="1"/>
  <c r="AC57" i="14"/>
  <c r="V53" i="32"/>
  <c r="V55" i="32" s="1"/>
  <c r="V57" i="32" s="1"/>
  <c r="G85" i="14"/>
  <c r="K15" i="5"/>
  <c r="K12" i="5" s="1"/>
  <c r="K16" i="22"/>
  <c r="K17" i="22" s="1"/>
  <c r="K75" i="22" s="1"/>
  <c r="K84" i="22" s="1"/>
  <c r="AB55" i="22" s="1"/>
  <c r="AB57" i="22" s="1"/>
  <c r="AB59" i="22" s="1"/>
  <c r="N108" i="26"/>
  <c r="N109" i="26" s="1"/>
  <c r="N167" i="26" s="1"/>
  <c r="C7" i="13"/>
  <c r="C5" i="13" s="1"/>
  <c r="F16" i="14"/>
  <c r="F17" i="14" s="1"/>
  <c r="F74" i="14" s="1"/>
  <c r="F83" i="14" s="1"/>
  <c r="F85" i="14" s="1"/>
  <c r="D16" i="24"/>
  <c r="D17" i="24" s="1"/>
  <c r="D76" i="24" s="1"/>
  <c r="H16" i="26"/>
  <c r="H17" i="26" s="1"/>
  <c r="H75" i="26" s="1"/>
  <c r="H84" i="26" s="1"/>
  <c r="Y55" i="26" s="1"/>
  <c r="Y57" i="26" s="1"/>
  <c r="G84" i="22"/>
  <c r="I105" i="14"/>
  <c r="I16" i="14"/>
  <c r="I17" i="14" s="1"/>
  <c r="I74" i="14" s="1"/>
  <c r="I83" i="14" s="1"/>
  <c r="I85" i="14" s="1"/>
  <c r="X252" i="14"/>
  <c r="X263" i="14" s="1"/>
  <c r="Y253" i="14"/>
  <c r="Y252" i="14" s="1"/>
  <c r="G64" i="32"/>
  <c r="H65" i="32" s="1"/>
  <c r="H82" i="32" s="1"/>
  <c r="H83" i="32" s="1"/>
  <c r="Y53" i="32" s="1"/>
  <c r="Y55" i="32" s="1"/>
  <c r="F101" i="6"/>
  <c r="F102" i="6" s="1"/>
  <c r="F147" i="6" s="1"/>
  <c r="F150" i="6" s="1"/>
  <c r="F151" i="6" s="1"/>
  <c r="G152" i="6" s="1"/>
  <c r="G169" i="6" s="1"/>
  <c r="F8" i="24"/>
  <c r="F73" i="24" s="1"/>
  <c r="F75" i="24" s="1"/>
  <c r="W50" i="24" s="1"/>
  <c r="W54" i="24" s="1"/>
  <c r="N8" i="24"/>
  <c r="N73" i="24" s="1"/>
  <c r="N75" i="24" s="1"/>
  <c r="AE50" i="24" s="1"/>
  <c r="AE54" i="24" s="1"/>
  <c r="AE59" i="24" s="1"/>
  <c r="C15" i="16"/>
  <c r="C20" i="16" s="1"/>
  <c r="C22" i="16" s="1"/>
  <c r="K10" i="16" s="1"/>
  <c r="K6" i="16" s="1"/>
  <c r="K17" i="16" s="1"/>
  <c r="G101" i="6"/>
  <c r="G102" i="6" s="1"/>
  <c r="G147" i="6" s="1"/>
  <c r="G150" i="6" s="1"/>
  <c r="G151" i="6" s="1"/>
  <c r="H152" i="6" s="1"/>
  <c r="H169" i="6" s="1"/>
  <c r="F105" i="14"/>
  <c r="F106" i="14" s="1"/>
  <c r="F151" i="14" s="1"/>
  <c r="F154" i="14" s="1"/>
  <c r="F155" i="14" s="1"/>
  <c r="G156" i="14" s="1"/>
  <c r="G173" i="14" s="1"/>
  <c r="C25" i="13"/>
  <c r="C23" i="13" s="1"/>
  <c r="G84" i="26"/>
  <c r="X55" i="26" s="1"/>
  <c r="X57" i="26" s="1"/>
  <c r="X59" i="26" s="1"/>
  <c r="N157" i="26"/>
  <c r="P158" i="26" s="1"/>
  <c r="C250" i="26" s="1"/>
  <c r="C267" i="26" s="1"/>
  <c r="C86" i="26"/>
  <c r="C87" i="26" s="1"/>
  <c r="D85" i="26" s="1"/>
  <c r="E105" i="14"/>
  <c r="M105" i="14"/>
  <c r="M65" i="26"/>
  <c r="N66" i="26" s="1"/>
  <c r="N83" i="26" s="1"/>
  <c r="N84" i="26" s="1"/>
  <c r="AE55" i="26" s="1"/>
  <c r="AE57" i="26" s="1"/>
  <c r="P96" i="14"/>
  <c r="N186" i="14" s="1"/>
  <c r="F85" i="33"/>
  <c r="F87" i="33" s="1"/>
  <c r="G16" i="32"/>
  <c r="G17" i="32" s="1"/>
  <c r="G74" i="32" s="1"/>
  <c r="G83" i="32" s="1"/>
  <c r="X53" i="32" s="1"/>
  <c r="X55" i="32" s="1"/>
  <c r="X57" i="32" s="1"/>
  <c r="D94" i="6"/>
  <c r="E95" i="6" s="1"/>
  <c r="E158" i="6" s="1"/>
  <c r="E160" i="6" s="1"/>
  <c r="J16" i="6"/>
  <c r="J17" i="6" s="1"/>
  <c r="J73" i="6" s="1"/>
  <c r="J82" i="6" s="1"/>
  <c r="J84" i="6" s="1"/>
  <c r="AD57" i="32"/>
  <c r="J8" i="24"/>
  <c r="J73" i="24" s="1"/>
  <c r="J75" i="24" s="1"/>
  <c r="J16" i="33"/>
  <c r="J17" i="33" s="1"/>
  <c r="J76" i="33" s="1"/>
  <c r="J85" i="33" s="1"/>
  <c r="F94" i="6"/>
  <c r="G95" i="6" s="1"/>
  <c r="G158" i="6" s="1"/>
  <c r="G160" i="6" s="1"/>
  <c r="E16" i="22"/>
  <c r="E17" i="22" s="1"/>
  <c r="E75" i="22" s="1"/>
  <c r="E84" i="22" s="1"/>
  <c r="V55" i="22" s="1"/>
  <c r="V57" i="22" s="1"/>
  <c r="V59" i="22" s="1"/>
  <c r="E16" i="24"/>
  <c r="E17" i="24" s="1"/>
  <c r="E76" i="24" s="1"/>
  <c r="E85" i="24" s="1"/>
  <c r="I84" i="22"/>
  <c r="L16" i="33"/>
  <c r="L17" i="33" s="1"/>
  <c r="L76" i="33" s="1"/>
  <c r="L85" i="33" s="1"/>
  <c r="AC55" i="33" s="1"/>
  <c r="AC57" i="33" s="1"/>
  <c r="AC59" i="33" s="1"/>
  <c r="C16" i="33"/>
  <c r="C17" i="33" s="1"/>
  <c r="C76" i="33" s="1"/>
  <c r="C85" i="33" s="1"/>
  <c r="T55" i="33" s="1"/>
  <c r="T57" i="33" s="1"/>
  <c r="T59" i="33" s="1"/>
  <c r="T60" i="33" s="1"/>
  <c r="U58" i="33" s="1"/>
  <c r="N16" i="33"/>
  <c r="N17" i="33" s="1"/>
  <c r="N76" i="33" s="1"/>
  <c r="N85" i="33" s="1"/>
  <c r="AE55" i="33" s="1"/>
  <c r="AE57" i="33" s="1"/>
  <c r="AE59" i="33" s="1"/>
  <c r="X5" i="12"/>
  <c r="X6" i="12" s="1"/>
  <c r="W7" i="12" s="1"/>
  <c r="W9" i="12" s="1"/>
  <c r="G70" i="12"/>
  <c r="G72" i="12" s="1"/>
  <c r="L85" i="32"/>
  <c r="I101" i="6"/>
  <c r="I102" i="6" s="1"/>
  <c r="I147" i="6" s="1"/>
  <c r="I150" i="6" s="1"/>
  <c r="I151" i="6" s="1"/>
  <c r="J152" i="6" s="1"/>
  <c r="J169" i="6" s="1"/>
  <c r="D176" i="26"/>
  <c r="U155" i="26" s="1"/>
  <c r="U157" i="26" s="1"/>
  <c r="K85" i="32"/>
  <c r="AB48" i="32"/>
  <c r="AB52" i="32" s="1"/>
  <c r="AB57" i="32" s="1"/>
  <c r="C190" i="26"/>
  <c r="D191" i="26" s="1"/>
  <c r="D256" i="26" s="1"/>
  <c r="D258" i="26" s="1"/>
  <c r="AC57" i="32"/>
  <c r="M85" i="32"/>
  <c r="M86" i="22"/>
  <c r="L94" i="6"/>
  <c r="M95" i="6" s="1"/>
  <c r="M158" i="6" s="1"/>
  <c r="M160" i="6" s="1"/>
  <c r="K85" i="24"/>
  <c r="AB55" i="24" s="1"/>
  <c r="AB57" i="24" s="1"/>
  <c r="AB59" i="24" s="1"/>
  <c r="X59" i="24"/>
  <c r="E98" i="14"/>
  <c r="F99" i="14" s="1"/>
  <c r="F162" i="14" s="1"/>
  <c r="F164" i="14" s="1"/>
  <c r="W145" i="14" s="1"/>
  <c r="W149" i="14" s="1"/>
  <c r="K85" i="33"/>
  <c r="AD59" i="22"/>
  <c r="E16" i="6"/>
  <c r="E17" i="6" s="1"/>
  <c r="E73" i="6" s="1"/>
  <c r="E82" i="6" s="1"/>
  <c r="E84" i="6" s="1"/>
  <c r="E85" i="6" s="1"/>
  <c r="F83" i="6" s="1"/>
  <c r="D98" i="14"/>
  <c r="E99" i="14" s="1"/>
  <c r="E162" i="14" s="1"/>
  <c r="E164" i="14" s="1"/>
  <c r="V145" i="14" s="1"/>
  <c r="V149" i="14" s="1"/>
  <c r="F84" i="6"/>
  <c r="T7" i="6"/>
  <c r="T13" i="6" s="1"/>
  <c r="T14" i="6" s="1"/>
  <c r="T19" i="6" s="1"/>
  <c r="T21" i="6" s="1"/>
  <c r="X31" i="6" s="1"/>
  <c r="F190" i="26"/>
  <c r="F8" i="26"/>
  <c r="F72" i="26" s="1"/>
  <c r="F74" i="26" s="1"/>
  <c r="W50" i="26" s="1"/>
  <c r="W54" i="26" s="1"/>
  <c r="I16" i="12"/>
  <c r="I17" i="12" s="1"/>
  <c r="I73" i="12" s="1"/>
  <c r="I82" i="12" s="1"/>
  <c r="Z52" i="12" s="1"/>
  <c r="Z54" i="12" s="1"/>
  <c r="Z56" i="12" s="1"/>
  <c r="H101" i="6"/>
  <c r="Z53" i="32"/>
  <c r="Z55" i="32" s="1"/>
  <c r="Z57" i="32" s="1"/>
  <c r="I85" i="32"/>
  <c r="E84" i="26"/>
  <c r="V55" i="26" s="1"/>
  <c r="V57" i="26" s="1"/>
  <c r="H85" i="14"/>
  <c r="Y48" i="14"/>
  <c r="Y52" i="14" s="1"/>
  <c r="Y57" i="14" s="1"/>
  <c r="C8" i="5"/>
  <c r="C14" i="5" s="1"/>
  <c r="L84" i="22"/>
  <c r="AC55" i="22" s="1"/>
  <c r="AC57" i="22" s="1"/>
  <c r="AC59" i="22" s="1"/>
  <c r="M16" i="26"/>
  <c r="M17" i="26" s="1"/>
  <c r="M75" i="26" s="1"/>
  <c r="M84" i="26" s="1"/>
  <c r="AD55" i="26" s="1"/>
  <c r="AD57" i="26" s="1"/>
  <c r="F16" i="24"/>
  <c r="F17" i="24" s="1"/>
  <c r="F76" i="24" s="1"/>
  <c r="F85" i="24" s="1"/>
  <c r="W55" i="24" s="1"/>
  <c r="W57" i="24" s="1"/>
  <c r="X57" i="14"/>
  <c r="T82" i="24"/>
  <c r="T87" i="24" s="1"/>
  <c r="T89" i="24" s="1"/>
  <c r="AA77" i="24" s="1"/>
  <c r="AA169" i="24" s="1"/>
  <c r="M8" i="26"/>
  <c r="M72" i="26" s="1"/>
  <c r="M74" i="26" s="1"/>
  <c r="AD50" i="26" s="1"/>
  <c r="AD54" i="26" s="1"/>
  <c r="H65" i="26"/>
  <c r="I66" i="26" s="1"/>
  <c r="I83" i="26" s="1"/>
  <c r="I84" i="26" s="1"/>
  <c r="W53" i="14"/>
  <c r="W55" i="14" s="1"/>
  <c r="W57" i="14" s="1"/>
  <c r="AA52" i="12"/>
  <c r="AA54" i="12" s="1"/>
  <c r="AA10" i="12"/>
  <c r="AA12" i="12" s="1"/>
  <c r="AA80" i="14"/>
  <c r="C156" i="14"/>
  <c r="C173" i="14" s="1"/>
  <c r="X55" i="22"/>
  <c r="X57" i="22" s="1"/>
  <c r="X59" i="22" s="1"/>
  <c r="G86" i="22"/>
  <c r="G107" i="26"/>
  <c r="G153" i="26" s="1"/>
  <c r="G156" i="26" s="1"/>
  <c r="G157" i="26" s="1"/>
  <c r="H158" i="26" s="1"/>
  <c r="H175" i="26" s="1"/>
  <c r="H176" i="26" s="1"/>
  <c r="Y155" i="26" s="1"/>
  <c r="Y157" i="26" s="1"/>
  <c r="G189" i="26"/>
  <c r="G244" i="26" s="1"/>
  <c r="G197" i="26"/>
  <c r="D107" i="24"/>
  <c r="D99" i="24"/>
  <c r="D153" i="24" s="1"/>
  <c r="D100" i="24"/>
  <c r="G94" i="6"/>
  <c r="H95" i="6" s="1"/>
  <c r="H158" i="6" s="1"/>
  <c r="H160" i="6" s="1"/>
  <c r="N94" i="6"/>
  <c r="P95" i="6" s="1"/>
  <c r="T122" i="6" s="1"/>
  <c r="Y81" i="26"/>
  <c r="AC47" i="12"/>
  <c r="AC51" i="12" s="1"/>
  <c r="H99" i="24"/>
  <c r="H153" i="24" s="1"/>
  <c r="H107" i="24"/>
  <c r="H99" i="33"/>
  <c r="H153" i="33" s="1"/>
  <c r="H107" i="33"/>
  <c r="T82" i="22"/>
  <c r="T87" i="22" s="1"/>
  <c r="T89" i="22" s="1"/>
  <c r="AA77" i="22" s="1"/>
  <c r="L97" i="32"/>
  <c r="L150" i="32" s="1"/>
  <c r="L98" i="32"/>
  <c r="M99" i="32" s="1"/>
  <c r="M162" i="32" s="1"/>
  <c r="M164" i="32" s="1"/>
  <c r="L105" i="32"/>
  <c r="J94" i="6"/>
  <c r="K95" i="6" s="1"/>
  <c r="K158" i="6" s="1"/>
  <c r="K160" i="6" s="1"/>
  <c r="I197" i="26"/>
  <c r="I189" i="26"/>
  <c r="I244" i="26" s="1"/>
  <c r="I190" i="26"/>
  <c r="U47" i="12"/>
  <c r="U51" i="12" s="1"/>
  <c r="D84" i="12"/>
  <c r="D85" i="12" s="1"/>
  <c r="E83" i="12" s="1"/>
  <c r="L197" i="26"/>
  <c r="L189" i="26"/>
  <c r="L244" i="26" s="1"/>
  <c r="E108" i="26"/>
  <c r="E109" i="26" s="1"/>
  <c r="E167" i="26" s="1"/>
  <c r="E176" i="26" s="1"/>
  <c r="V155" i="26" s="1"/>
  <c r="V157" i="26" s="1"/>
  <c r="L106" i="14"/>
  <c r="L151" i="14" s="1"/>
  <c r="L154" i="14" s="1"/>
  <c r="L155" i="14" s="1"/>
  <c r="M156" i="14" s="1"/>
  <c r="M173" i="14" s="1"/>
  <c r="L107" i="14"/>
  <c r="L108" i="14" s="1"/>
  <c r="L165" i="14" s="1"/>
  <c r="H94" i="6"/>
  <c r="I95" i="6" s="1"/>
  <c r="I158" i="6" s="1"/>
  <c r="I160" i="6" s="1"/>
  <c r="Y50" i="33"/>
  <c r="Y54" i="33" s="1"/>
  <c r="V150" i="26"/>
  <c r="V154" i="26" s="1"/>
  <c r="N101" i="6"/>
  <c r="N102" i="6" s="1"/>
  <c r="G66" i="33"/>
  <c r="H67" i="33" s="1"/>
  <c r="H84" i="33" s="1"/>
  <c r="H85" i="33" s="1"/>
  <c r="Y55" i="33" s="1"/>
  <c r="Y57" i="33" s="1"/>
  <c r="Y48" i="32"/>
  <c r="Y52" i="32" s="1"/>
  <c r="F198" i="26"/>
  <c r="F245" i="26" s="1"/>
  <c r="F248" i="26" s="1"/>
  <c r="F249" i="26" s="1"/>
  <c r="G250" i="26" s="1"/>
  <c r="G267" i="26" s="1"/>
  <c r="W150" i="26"/>
  <c r="W154" i="26" s="1"/>
  <c r="W159" i="26" s="1"/>
  <c r="F178" i="26"/>
  <c r="E82" i="12"/>
  <c r="U145" i="14"/>
  <c r="U149" i="14" s="1"/>
  <c r="T82" i="33"/>
  <c r="T87" i="33" s="1"/>
  <c r="T89" i="33" s="1"/>
  <c r="AA77" i="33" s="1"/>
  <c r="L98" i="22"/>
  <c r="L152" i="22" s="1"/>
  <c r="L99" i="22"/>
  <c r="M100" i="22" s="1"/>
  <c r="M164" i="22" s="1"/>
  <c r="M166" i="22" s="1"/>
  <c r="L106" i="22"/>
  <c r="D85" i="24"/>
  <c r="U55" i="24" s="1"/>
  <c r="U57" i="24" s="1"/>
  <c r="Z50" i="26"/>
  <c r="Z54" i="26" s="1"/>
  <c r="G97" i="32"/>
  <c r="G150" i="32" s="1"/>
  <c r="G105" i="32"/>
  <c r="J99" i="33"/>
  <c r="J153" i="33" s="1"/>
  <c r="J107" i="33"/>
  <c r="K106" i="22"/>
  <c r="K98" i="22"/>
  <c r="K152" i="22" s="1"/>
  <c r="T80" i="32"/>
  <c r="T85" i="32" s="1"/>
  <c r="T87" i="32" s="1"/>
  <c r="AA75" i="32" s="1"/>
  <c r="G16" i="33"/>
  <c r="G17" i="33" s="1"/>
  <c r="G76" i="33" s="1"/>
  <c r="G85" i="33" s="1"/>
  <c r="F16" i="22"/>
  <c r="F17" i="22" s="1"/>
  <c r="F75" i="22" s="1"/>
  <c r="F84" i="22" s="1"/>
  <c r="L16" i="12"/>
  <c r="L17" i="12" s="1"/>
  <c r="L73" i="12" s="1"/>
  <c r="L82" i="12" s="1"/>
  <c r="Y77" i="12"/>
  <c r="N107" i="33"/>
  <c r="N99" i="33"/>
  <c r="N153" i="33" s="1"/>
  <c r="K105" i="32"/>
  <c r="K97" i="32"/>
  <c r="K150" i="32" s="1"/>
  <c r="T50" i="24"/>
  <c r="T54" i="24" s="1"/>
  <c r="T59" i="24" s="1"/>
  <c r="T60" i="24" s="1"/>
  <c r="U58" i="24" s="1"/>
  <c r="C87" i="24"/>
  <c r="C88" i="24" s="1"/>
  <c r="D86" i="24" s="1"/>
  <c r="I106" i="14"/>
  <c r="I151" i="14" s="1"/>
  <c r="I154" i="14" s="1"/>
  <c r="T144" i="12"/>
  <c r="T148" i="12" s="1"/>
  <c r="D198" i="26"/>
  <c r="D245" i="26" s="1"/>
  <c r="D248" i="26" s="1"/>
  <c r="D249" i="26" s="1"/>
  <c r="E250" i="26" s="1"/>
  <c r="E267" i="26" s="1"/>
  <c r="W52" i="12"/>
  <c r="W54" i="12" s="1"/>
  <c r="W56" i="12" s="1"/>
  <c r="W10" i="12"/>
  <c r="W12" i="12" s="1"/>
  <c r="I94" i="6"/>
  <c r="J95" i="6" s="1"/>
  <c r="J158" i="6" s="1"/>
  <c r="J160" i="6" s="1"/>
  <c r="N16" i="14"/>
  <c r="N17" i="14" s="1"/>
  <c r="N74" i="14" s="1"/>
  <c r="N83" i="14" s="1"/>
  <c r="AD47" i="12"/>
  <c r="AD51" i="12" s="1"/>
  <c r="F16" i="26"/>
  <c r="F17" i="26" s="1"/>
  <c r="F75" i="26" s="1"/>
  <c r="F84" i="26" s="1"/>
  <c r="W55" i="26" s="1"/>
  <c r="W57" i="26" s="1"/>
  <c r="Y6" i="12"/>
  <c r="X7" i="12" s="1"/>
  <c r="AE50" i="26"/>
  <c r="AE54" i="26" s="1"/>
  <c r="E99" i="33"/>
  <c r="E153" i="33" s="1"/>
  <c r="E107" i="33"/>
  <c r="E106" i="14"/>
  <c r="E151" i="14" s="1"/>
  <c r="E154" i="14" s="1"/>
  <c r="E155" i="14" s="1"/>
  <c r="F156" i="14" s="1"/>
  <c r="F173" i="14" s="1"/>
  <c r="N98" i="14"/>
  <c r="P99" i="14" s="1"/>
  <c r="W169" i="14" s="1"/>
  <c r="Y169" i="14" s="1"/>
  <c r="C189" i="14" s="1"/>
  <c r="C253" i="14" s="1"/>
  <c r="C255" i="14" s="1"/>
  <c r="H105" i="32"/>
  <c r="H97" i="32"/>
  <c r="H150" i="32" s="1"/>
  <c r="P92" i="6"/>
  <c r="C180" i="6" s="1"/>
  <c r="AD6" i="12"/>
  <c r="AC7" i="12" s="1"/>
  <c r="Y47" i="12"/>
  <c r="Y51" i="12" s="1"/>
  <c r="H84" i="12"/>
  <c r="P188" i="26"/>
  <c r="L107" i="33"/>
  <c r="L99" i="33"/>
  <c r="L153" i="33" s="1"/>
  <c r="N106" i="14"/>
  <c r="N151" i="14" s="1"/>
  <c r="N154" i="14" s="1"/>
  <c r="E97" i="32"/>
  <c r="E150" i="32" s="1"/>
  <c r="E105" i="32"/>
  <c r="Y79" i="14"/>
  <c r="J16" i="14"/>
  <c r="J17" i="14" s="1"/>
  <c r="J74" i="14" s="1"/>
  <c r="J83" i="14" s="1"/>
  <c r="K107" i="24"/>
  <c r="K99" i="24"/>
  <c r="K153" i="24" s="1"/>
  <c r="K100" i="24"/>
  <c r="H98" i="14"/>
  <c r="I99" i="14" s="1"/>
  <c r="I162" i="14" s="1"/>
  <c r="I164" i="14" s="1"/>
  <c r="AD50" i="33"/>
  <c r="AD54" i="33" s="1"/>
  <c r="AD59" i="33" s="1"/>
  <c r="M87" i="33"/>
  <c r="M99" i="33"/>
  <c r="M153" i="33" s="1"/>
  <c r="M100" i="33"/>
  <c r="N101" i="33" s="1"/>
  <c r="N165" i="33" s="1"/>
  <c r="N167" i="33" s="1"/>
  <c r="M107" i="33"/>
  <c r="G106" i="14"/>
  <c r="G151" i="14" s="1"/>
  <c r="G154" i="14" s="1"/>
  <c r="C105" i="32"/>
  <c r="P96" i="32"/>
  <c r="C97" i="32"/>
  <c r="C150" i="32" s="1"/>
  <c r="C98" i="32"/>
  <c r="D99" i="32" s="1"/>
  <c r="D162" i="32" s="1"/>
  <c r="D164" i="32" s="1"/>
  <c r="E198" i="26"/>
  <c r="E245" i="26" s="1"/>
  <c r="E248" i="26" s="1"/>
  <c r="E249" i="26" s="1"/>
  <c r="F250" i="26" s="1"/>
  <c r="F267" i="26" s="1"/>
  <c r="Z10" i="12"/>
  <c r="Z12" i="12" s="1"/>
  <c r="I84" i="12"/>
  <c r="E190" i="26"/>
  <c r="I100" i="26"/>
  <c r="I164" i="26" s="1"/>
  <c r="I166" i="26" s="1"/>
  <c r="AE53" i="32"/>
  <c r="AE55" i="32" s="1"/>
  <c r="AE57" i="32" s="1"/>
  <c r="N85" i="32"/>
  <c r="AA80" i="32"/>
  <c r="C156" i="32"/>
  <c r="C173" i="32" s="1"/>
  <c r="C87" i="33"/>
  <c r="C88" i="33" s="1"/>
  <c r="D86" i="33" s="1"/>
  <c r="J101" i="6"/>
  <c r="Y10" i="12"/>
  <c r="Y12" i="12" s="1"/>
  <c r="Y52" i="12"/>
  <c r="Y54" i="12" s="1"/>
  <c r="C198" i="26"/>
  <c r="C245" i="26" s="1"/>
  <c r="C248" i="26" s="1"/>
  <c r="C249" i="26" s="1"/>
  <c r="D250" i="26" s="1"/>
  <c r="D267" i="26" s="1"/>
  <c r="L107" i="24"/>
  <c r="L99" i="24"/>
  <c r="L153" i="24" s="1"/>
  <c r="H106" i="14"/>
  <c r="H151" i="14" s="1"/>
  <c r="H154" i="14" s="1"/>
  <c r="H155" i="14" s="1"/>
  <c r="I156" i="14" s="1"/>
  <c r="I173" i="14" s="1"/>
  <c r="U52" i="12"/>
  <c r="U54" i="12" s="1"/>
  <c r="U10" i="12"/>
  <c r="U12" i="12" s="1"/>
  <c r="G99" i="33"/>
  <c r="G153" i="33" s="1"/>
  <c r="G107" i="33"/>
  <c r="G100" i="33"/>
  <c r="H101" i="33" s="1"/>
  <c r="H165" i="33" s="1"/>
  <c r="H167" i="33" s="1"/>
  <c r="I98" i="22"/>
  <c r="I152" i="22" s="1"/>
  <c r="I106" i="22"/>
  <c r="E94" i="6"/>
  <c r="F95" i="6" s="1"/>
  <c r="F158" i="6" s="1"/>
  <c r="F160" i="6" s="1"/>
  <c r="AA84" i="26"/>
  <c r="AA169" i="26"/>
  <c r="M189" i="26"/>
  <c r="M244" i="26" s="1"/>
  <c r="M197" i="26"/>
  <c r="G5" i="7"/>
  <c r="E5" i="7"/>
  <c r="K95" i="12"/>
  <c r="C7" i="5"/>
  <c r="I5" i="7"/>
  <c r="K5" i="7"/>
  <c r="H95" i="12"/>
  <c r="D5" i="7"/>
  <c r="J5" i="7"/>
  <c r="M5" i="7"/>
  <c r="G95" i="12"/>
  <c r="N5" i="7"/>
  <c r="D95" i="12"/>
  <c r="N95" i="12"/>
  <c r="F95" i="12"/>
  <c r="J95" i="12"/>
  <c r="E95" i="12"/>
  <c r="C95" i="12"/>
  <c r="C5" i="7"/>
  <c r="L5" i="7"/>
  <c r="F5" i="7"/>
  <c r="M95" i="12"/>
  <c r="L95" i="12"/>
  <c r="H5" i="7"/>
  <c r="I95" i="12"/>
  <c r="U50" i="33"/>
  <c r="U54" i="33" s="1"/>
  <c r="N107" i="24"/>
  <c r="N99" i="24"/>
  <c r="N153" i="24" s="1"/>
  <c r="I99" i="33"/>
  <c r="I153" i="33" s="1"/>
  <c r="I107" i="33"/>
  <c r="I100" i="33"/>
  <c r="J101" i="33" s="1"/>
  <c r="J165" i="33" s="1"/>
  <c r="J167" i="33" s="1"/>
  <c r="C106" i="22"/>
  <c r="C98" i="22"/>
  <c r="C152" i="22" s="1"/>
  <c r="P97" i="22"/>
  <c r="P8" i="36"/>
  <c r="Q8" i="36" s="1"/>
  <c r="T165" i="26"/>
  <c r="T167" i="26" s="1"/>
  <c r="U48" i="32"/>
  <c r="U52" i="32" s="1"/>
  <c r="U57" i="32" s="1"/>
  <c r="D85" i="32"/>
  <c r="K93" i="6"/>
  <c r="K146" i="6" s="1"/>
  <c r="Q7" i="36"/>
  <c r="AA82" i="33"/>
  <c r="C159" i="33"/>
  <c r="C176" i="33" s="1"/>
  <c r="F107" i="33"/>
  <c r="F99" i="33"/>
  <c r="F153" i="33" s="1"/>
  <c r="D106" i="22"/>
  <c r="D98" i="22"/>
  <c r="D152" i="22" s="1"/>
  <c r="L7" i="36"/>
  <c r="L11" i="36" s="1"/>
  <c r="L47" i="36" s="1"/>
  <c r="L49" i="36" s="1"/>
  <c r="L7" i="13"/>
  <c r="L11" i="13" s="1"/>
  <c r="L39" i="13" s="1"/>
  <c r="L41" i="13" s="1"/>
  <c r="T79" i="14"/>
  <c r="T80" i="14" s="1"/>
  <c r="T85" i="14" s="1"/>
  <c r="T87" i="14" s="1"/>
  <c r="AA75" i="14" s="1"/>
  <c r="M99" i="26"/>
  <c r="N100" i="26" s="1"/>
  <c r="N164" i="26" s="1"/>
  <c r="N166" i="26" s="1"/>
  <c r="Y81" i="22"/>
  <c r="J106" i="14"/>
  <c r="J151" i="14" s="1"/>
  <c r="J154" i="14" s="1"/>
  <c r="J155" i="14" s="1"/>
  <c r="K156" i="14" s="1"/>
  <c r="K173" i="14" s="1"/>
  <c r="F107" i="24"/>
  <c r="F99" i="24"/>
  <c r="F153" i="24" s="1"/>
  <c r="K99" i="33"/>
  <c r="K153" i="33" s="1"/>
  <c r="K100" i="33"/>
  <c r="L101" i="33" s="1"/>
  <c r="L165" i="33" s="1"/>
  <c r="L167" i="33" s="1"/>
  <c r="K107" i="33"/>
  <c r="AB52" i="12"/>
  <c r="AB54" i="12" s="1"/>
  <c r="AB10" i="12"/>
  <c r="AB12" i="12" s="1"/>
  <c r="C99" i="32"/>
  <c r="C162" i="32" s="1"/>
  <c r="C164" i="32" s="1"/>
  <c r="W79" i="32"/>
  <c r="D16" i="26"/>
  <c r="D17" i="26" s="1"/>
  <c r="D75" i="26" s="1"/>
  <c r="D84" i="26" s="1"/>
  <c r="M107" i="26"/>
  <c r="M153" i="26" s="1"/>
  <c r="M156" i="26" s="1"/>
  <c r="M157" i="26" s="1"/>
  <c r="N158" i="26" s="1"/>
  <c r="N175" i="26" s="1"/>
  <c r="K198" i="26"/>
  <c r="K245" i="26" s="1"/>
  <c r="K248" i="26" s="1"/>
  <c r="K249" i="26" s="1"/>
  <c r="L250" i="26" s="1"/>
  <c r="L267" i="26" s="1"/>
  <c r="C66" i="33"/>
  <c r="D67" i="33" s="1"/>
  <c r="D84" i="33" s="1"/>
  <c r="D85" i="33" s="1"/>
  <c r="U55" i="33" s="1"/>
  <c r="U57" i="33" s="1"/>
  <c r="M107" i="24"/>
  <c r="M99" i="24"/>
  <c r="M153" i="24" s="1"/>
  <c r="G99" i="26"/>
  <c r="H100" i="26" s="1"/>
  <c r="H164" i="26" s="1"/>
  <c r="H166" i="26" s="1"/>
  <c r="AA69" i="12"/>
  <c r="AA80" i="12" s="1"/>
  <c r="AA163" i="12"/>
  <c r="K108" i="26"/>
  <c r="K109" i="26" s="1"/>
  <c r="K167" i="26" s="1"/>
  <c r="F98" i="14"/>
  <c r="G99" i="14" s="1"/>
  <c r="G162" i="14" s="1"/>
  <c r="G164" i="14" s="1"/>
  <c r="I107" i="26"/>
  <c r="I153" i="26" s="1"/>
  <c r="I156" i="26" s="1"/>
  <c r="I157" i="26" s="1"/>
  <c r="J158" i="26" s="1"/>
  <c r="J175" i="26" s="1"/>
  <c r="K190" i="26"/>
  <c r="K98" i="14"/>
  <c r="L99" i="14" s="1"/>
  <c r="L162" i="14" s="1"/>
  <c r="L164" i="14" s="1"/>
  <c r="G107" i="24"/>
  <c r="G99" i="24"/>
  <c r="G153" i="24" s="1"/>
  <c r="P98" i="33"/>
  <c r="C99" i="33"/>
  <c r="C153" i="33" s="1"/>
  <c r="C107" i="33"/>
  <c r="J106" i="22"/>
  <c r="J98" i="22"/>
  <c r="J152" i="22" s="1"/>
  <c r="P106" i="26"/>
  <c r="T168" i="26" s="1"/>
  <c r="T174" i="26" s="1"/>
  <c r="E107" i="24"/>
  <c r="E99" i="24"/>
  <c r="E153" i="24" s="1"/>
  <c r="D107" i="33"/>
  <c r="D99" i="33"/>
  <c r="D153" i="33" s="1"/>
  <c r="H106" i="22"/>
  <c r="H98" i="22"/>
  <c r="H152" i="22" s="1"/>
  <c r="C108" i="26"/>
  <c r="C109" i="26" s="1"/>
  <c r="C167" i="26" s="1"/>
  <c r="I97" i="32"/>
  <c r="I150" i="32" s="1"/>
  <c r="I98" i="32"/>
  <c r="J99" i="32" s="1"/>
  <c r="J162" i="32" s="1"/>
  <c r="J164" i="32" s="1"/>
  <c r="I105" i="32"/>
  <c r="D8" i="24"/>
  <c r="D73" i="24" s="1"/>
  <c r="D75" i="24" s="1"/>
  <c r="G87" i="24"/>
  <c r="K106" i="14"/>
  <c r="K151" i="14" s="1"/>
  <c r="K154" i="14" s="1"/>
  <c r="K155" i="14" s="1"/>
  <c r="L156" i="14" s="1"/>
  <c r="L173" i="14" s="1"/>
  <c r="AA84" i="24"/>
  <c r="G106" i="22"/>
  <c r="G98" i="22"/>
  <c r="G152" i="22" s="1"/>
  <c r="G99" i="22"/>
  <c r="H100" i="22" s="1"/>
  <c r="H164" i="22" s="1"/>
  <c r="H166" i="22" s="1"/>
  <c r="N105" i="32"/>
  <c r="N97" i="32"/>
  <c r="N150" i="32" s="1"/>
  <c r="F98" i="22"/>
  <c r="F152" i="22" s="1"/>
  <c r="F99" i="22"/>
  <c r="G100" i="22" s="1"/>
  <c r="G164" i="22" s="1"/>
  <c r="G166" i="22" s="1"/>
  <c r="F106" i="22"/>
  <c r="J189" i="26"/>
  <c r="J244" i="26" s="1"/>
  <c r="J197" i="26"/>
  <c r="M97" i="32"/>
  <c r="M150" i="32" s="1"/>
  <c r="M105" i="32"/>
  <c r="T55" i="22"/>
  <c r="T57" i="22" s="1"/>
  <c r="T59" i="22" s="1"/>
  <c r="T60" i="22" s="1"/>
  <c r="U58" i="22" s="1"/>
  <c r="C86" i="22"/>
  <c r="C87" i="22" s="1"/>
  <c r="D85" i="22" s="1"/>
  <c r="U6" i="12"/>
  <c r="T7" i="12" s="1"/>
  <c r="T9" i="12" s="1"/>
  <c r="T14" i="12" s="1"/>
  <c r="T15" i="12" s="1"/>
  <c r="U13" i="12" s="1"/>
  <c r="L99" i="26"/>
  <c r="AB57" i="14"/>
  <c r="U50" i="22"/>
  <c r="U54" i="22" s="1"/>
  <c r="AB5" i="12"/>
  <c r="K70" i="12"/>
  <c r="K72" i="12" s="1"/>
  <c r="N16" i="12"/>
  <c r="N17" i="12" s="1"/>
  <c r="N73" i="12" s="1"/>
  <c r="N82" i="12" s="1"/>
  <c r="C107" i="24"/>
  <c r="C99" i="24"/>
  <c r="C153" i="24" s="1"/>
  <c r="P98" i="24"/>
  <c r="L98" i="14"/>
  <c r="M99" i="14" s="1"/>
  <c r="M162" i="14" s="1"/>
  <c r="M164" i="14" s="1"/>
  <c r="F84" i="12"/>
  <c r="H86" i="22"/>
  <c r="E98" i="22"/>
  <c r="E152" i="22" s="1"/>
  <c r="E106" i="22"/>
  <c r="J99" i="26"/>
  <c r="K100" i="26" s="1"/>
  <c r="K164" i="26" s="1"/>
  <c r="K166" i="26" s="1"/>
  <c r="J105" i="32"/>
  <c r="J97" i="32"/>
  <c r="J150" i="32" s="1"/>
  <c r="K85" i="14"/>
  <c r="H186" i="14"/>
  <c r="E186" i="14"/>
  <c r="Y59" i="22"/>
  <c r="N106" i="22"/>
  <c r="N98" i="22"/>
  <c r="N152" i="22" s="1"/>
  <c r="D97" i="32"/>
  <c r="D150" i="32" s="1"/>
  <c r="D105" i="32"/>
  <c r="M98" i="14"/>
  <c r="N99" i="14" s="1"/>
  <c r="N162" i="14" s="1"/>
  <c r="N164" i="14" s="1"/>
  <c r="AC50" i="26"/>
  <c r="AC54" i="26" s="1"/>
  <c r="AA47" i="12"/>
  <c r="AA51" i="12" s="1"/>
  <c r="J84" i="12"/>
  <c r="H198" i="26"/>
  <c r="H245" i="26" s="1"/>
  <c r="H248" i="26" s="1"/>
  <c r="H249" i="26" s="1"/>
  <c r="I250" i="26" s="1"/>
  <c r="I267" i="26" s="1"/>
  <c r="H199" i="26"/>
  <c r="H200" i="26" s="1"/>
  <c r="H259" i="26" s="1"/>
  <c r="J107" i="24"/>
  <c r="J99" i="24"/>
  <c r="J153" i="24" s="1"/>
  <c r="V5" i="12"/>
  <c r="E70" i="12"/>
  <c r="E72" i="12" s="1"/>
  <c r="L107" i="26"/>
  <c r="L153" i="26" s="1"/>
  <c r="L156" i="26" s="1"/>
  <c r="L157" i="26" s="1"/>
  <c r="M158" i="26" s="1"/>
  <c r="M175" i="26" s="1"/>
  <c r="M106" i="14"/>
  <c r="M151" i="14" s="1"/>
  <c r="M154" i="14" s="1"/>
  <c r="M155" i="14" s="1"/>
  <c r="N156" i="14" s="1"/>
  <c r="N173" i="14" s="1"/>
  <c r="Z55" i="33"/>
  <c r="Z57" i="33" s="1"/>
  <c r="Z59" i="33" s="1"/>
  <c r="I87" i="33"/>
  <c r="AA6" i="12"/>
  <c r="Z7" i="12" s="1"/>
  <c r="Z9" i="12" s="1"/>
  <c r="AC6" i="12"/>
  <c r="AB7" i="12" s="1"/>
  <c r="I107" i="24"/>
  <c r="I99" i="24"/>
  <c r="I153" i="24" s="1"/>
  <c r="M106" i="22"/>
  <c r="M98" i="22"/>
  <c r="M152" i="22" s="1"/>
  <c r="M99" i="22"/>
  <c r="N100" i="22" s="1"/>
  <c r="N164" i="22" s="1"/>
  <c r="N166" i="22" s="1"/>
  <c r="Y81" i="33"/>
  <c r="J107" i="26"/>
  <c r="J153" i="26" s="1"/>
  <c r="J156" i="26" s="1"/>
  <c r="J157" i="26" s="1"/>
  <c r="K158" i="26" s="1"/>
  <c r="K175" i="26" s="1"/>
  <c r="F105" i="32"/>
  <c r="F97" i="32"/>
  <c r="F150" i="32" s="1"/>
  <c r="X117" i="6"/>
  <c r="X27" i="6"/>
  <c r="X38" i="6" s="1"/>
  <c r="D102" i="6"/>
  <c r="D147" i="6" s="1"/>
  <c r="D150" i="6" s="1"/>
  <c r="D103" i="6"/>
  <c r="D104" i="6" s="1"/>
  <c r="D161" i="6" s="1"/>
  <c r="D151" i="6"/>
  <c r="E152" i="6" s="1"/>
  <c r="E169" i="6" s="1"/>
  <c r="E102" i="6"/>
  <c r="E147" i="6" s="1"/>
  <c r="E150" i="6" s="1"/>
  <c r="E151" i="6" s="1"/>
  <c r="F152" i="6" s="1"/>
  <c r="F169" i="6" s="1"/>
  <c r="K102" i="6"/>
  <c r="K147" i="6" s="1"/>
  <c r="K150" i="6" s="1"/>
  <c r="L102" i="6"/>
  <c r="L147" i="6" s="1"/>
  <c r="L150" i="6" s="1"/>
  <c r="L151" i="6" s="1"/>
  <c r="M152" i="6" s="1"/>
  <c r="M169" i="6" s="1"/>
  <c r="M102" i="6"/>
  <c r="M147" i="6" s="1"/>
  <c r="M150" i="6" s="1"/>
  <c r="M151" i="6" s="1"/>
  <c r="N152" i="6" s="1"/>
  <c r="N169" i="6" s="1"/>
  <c r="M103" i="6"/>
  <c r="M104" i="6" s="1"/>
  <c r="M161" i="6" s="1"/>
  <c r="M170" i="6" s="1"/>
  <c r="V122" i="6"/>
  <c r="C102" i="6"/>
  <c r="C147" i="6" s="1"/>
  <c r="C150" i="6" s="1"/>
  <c r="C151" i="6" s="1"/>
  <c r="D152" i="6" s="1"/>
  <c r="D169" i="6" s="1"/>
  <c r="V204" i="6"/>
  <c r="V203" i="6" s="1"/>
  <c r="U203" i="6"/>
  <c r="U214" i="6" s="1"/>
  <c r="J94" i="41" l="1"/>
  <c r="K95" i="41" s="1"/>
  <c r="K158" i="41" s="1"/>
  <c r="K160" i="41" s="1"/>
  <c r="H94" i="41"/>
  <c r="I95" i="41" s="1"/>
  <c r="I158" i="41" s="1"/>
  <c r="I160" i="41" s="1"/>
  <c r="E94" i="41"/>
  <c r="F95" i="41" s="1"/>
  <c r="F158" i="41" s="1"/>
  <c r="F160" i="41" s="1"/>
  <c r="I94" i="41"/>
  <c r="J95" i="41" s="1"/>
  <c r="J158" i="41" s="1"/>
  <c r="J160" i="41" s="1"/>
  <c r="N275" i="41"/>
  <c r="M275" i="41"/>
  <c r="L275" i="41"/>
  <c r="K275" i="41"/>
  <c r="J275" i="41"/>
  <c r="I275" i="41"/>
  <c r="N369" i="41"/>
  <c r="H275" i="41"/>
  <c r="M369" i="41"/>
  <c r="G275" i="41"/>
  <c r="L369" i="41"/>
  <c r="F275" i="41"/>
  <c r="K369" i="41"/>
  <c r="E275" i="41"/>
  <c r="J369" i="41"/>
  <c r="D275" i="41"/>
  <c r="I369" i="41"/>
  <c r="C275" i="41"/>
  <c r="H369" i="41"/>
  <c r="G369" i="41"/>
  <c r="F369" i="41"/>
  <c r="E369" i="41"/>
  <c r="D369" i="41"/>
  <c r="C369" i="41"/>
  <c r="G85" i="41"/>
  <c r="H83" i="41" s="1"/>
  <c r="H85" i="41" s="1"/>
  <c r="I83" i="41" s="1"/>
  <c r="I85" i="41" s="1"/>
  <c r="J83" i="41" s="1"/>
  <c r="J85" i="41" s="1"/>
  <c r="K83" i="41" s="1"/>
  <c r="K85" i="41" s="1"/>
  <c r="L83" i="41" s="1"/>
  <c r="L85" i="41" s="1"/>
  <c r="M83" i="41" s="1"/>
  <c r="M85" i="41" s="1"/>
  <c r="N83" i="41" s="1"/>
  <c r="N85" i="41" s="1"/>
  <c r="T36" i="41" s="1"/>
  <c r="C94" i="41"/>
  <c r="D95" i="41" s="1"/>
  <c r="D158" i="41" s="1"/>
  <c r="D160" i="41" s="1"/>
  <c r="M102" i="41"/>
  <c r="M147" i="41" s="1"/>
  <c r="M150" i="41" s="1"/>
  <c r="M151" i="41" s="1"/>
  <c r="N152" i="41" s="1"/>
  <c r="N169" i="41" s="1"/>
  <c r="M94" i="41"/>
  <c r="N95" i="41" s="1"/>
  <c r="N158" i="41" s="1"/>
  <c r="N160" i="41" s="1"/>
  <c r="H102" i="41"/>
  <c r="H147" i="41" s="1"/>
  <c r="H150" i="41" s="1"/>
  <c r="H151" i="41"/>
  <c r="I152" i="41" s="1"/>
  <c r="I169" i="41" s="1"/>
  <c r="L102" i="41"/>
  <c r="L147" i="41" s="1"/>
  <c r="L150" i="41" s="1"/>
  <c r="L151" i="41" s="1"/>
  <c r="M152" i="41" s="1"/>
  <c r="M169" i="41" s="1"/>
  <c r="G102" i="41"/>
  <c r="G147" i="41" s="1"/>
  <c r="G150" i="41" s="1"/>
  <c r="G151" i="41" s="1"/>
  <c r="H152" i="41" s="1"/>
  <c r="H169" i="41" s="1"/>
  <c r="G103" i="41"/>
  <c r="G104" i="41" s="1"/>
  <c r="G161" i="41" s="1"/>
  <c r="I102" i="41"/>
  <c r="I147" i="41" s="1"/>
  <c r="I150" i="41" s="1"/>
  <c r="I151" i="41" s="1"/>
  <c r="J152" i="41" s="1"/>
  <c r="J169" i="41" s="1"/>
  <c r="L94" i="41"/>
  <c r="M95" i="41" s="1"/>
  <c r="M158" i="41" s="1"/>
  <c r="M160" i="41" s="1"/>
  <c r="X27" i="41"/>
  <c r="X38" i="41" s="1"/>
  <c r="X117" i="41"/>
  <c r="D94" i="41"/>
  <c r="E95" i="41" s="1"/>
  <c r="E158" i="41" s="1"/>
  <c r="E160" i="41" s="1"/>
  <c r="K102" i="41"/>
  <c r="K147" i="41" s="1"/>
  <c r="K150" i="41" s="1"/>
  <c r="K151" i="41" s="1"/>
  <c r="L152" i="41" s="1"/>
  <c r="L169" i="41" s="1"/>
  <c r="F94" i="41"/>
  <c r="G95" i="41" s="1"/>
  <c r="G158" i="41" s="1"/>
  <c r="G160" i="41" s="1"/>
  <c r="K94" i="41"/>
  <c r="L95" i="41" s="1"/>
  <c r="L158" i="41" s="1"/>
  <c r="L160" i="41" s="1"/>
  <c r="D102" i="41"/>
  <c r="D147" i="41" s="1"/>
  <c r="D150" i="41" s="1"/>
  <c r="D151" i="41" s="1"/>
  <c r="E152" i="41" s="1"/>
  <c r="E169" i="41" s="1"/>
  <c r="J102" i="41"/>
  <c r="J147" i="41" s="1"/>
  <c r="J150" i="41" s="1"/>
  <c r="J151" i="41" s="1"/>
  <c r="K152" i="41" s="1"/>
  <c r="K169" i="41" s="1"/>
  <c r="J103" i="41"/>
  <c r="J104" i="41" s="1"/>
  <c r="J161" i="41" s="1"/>
  <c r="F102" i="41"/>
  <c r="F147" i="41" s="1"/>
  <c r="F150" i="41" s="1"/>
  <c r="F151" i="41" s="1"/>
  <c r="G152" i="41" s="1"/>
  <c r="G169" i="41" s="1"/>
  <c r="E102" i="41"/>
  <c r="E147" i="41" s="1"/>
  <c r="E150" i="41" s="1"/>
  <c r="E151" i="41"/>
  <c r="F152" i="41" s="1"/>
  <c r="F169" i="41" s="1"/>
  <c r="N102" i="41"/>
  <c r="N147" i="41" s="1"/>
  <c r="N150" i="41" s="1"/>
  <c r="N151" i="41" s="1"/>
  <c r="P152" i="41" s="1"/>
  <c r="X123" i="41" s="1"/>
  <c r="N94" i="41"/>
  <c r="P95" i="41" s="1"/>
  <c r="T122" i="41" s="1"/>
  <c r="T93" i="41"/>
  <c r="N182" i="41"/>
  <c r="M182" i="41"/>
  <c r="L182" i="41"/>
  <c r="K182" i="41"/>
  <c r="J182" i="41"/>
  <c r="I182" i="41"/>
  <c r="H182" i="41"/>
  <c r="G182" i="41"/>
  <c r="F182" i="41"/>
  <c r="E182" i="41"/>
  <c r="C182" i="41"/>
  <c r="D182" i="41"/>
  <c r="C102" i="41"/>
  <c r="C147" i="41" s="1"/>
  <c r="C150" i="41" s="1"/>
  <c r="C151" i="41" s="1"/>
  <c r="D152" i="41" s="1"/>
  <c r="D169" i="41" s="1"/>
  <c r="P101" i="41"/>
  <c r="V59" i="26"/>
  <c r="P105" i="14"/>
  <c r="T163" i="14" s="1"/>
  <c r="G98" i="14"/>
  <c r="H99" i="14" s="1"/>
  <c r="H162" i="14" s="1"/>
  <c r="H164" i="14" s="1"/>
  <c r="Y145" i="14" s="1"/>
  <c r="Y149" i="14" s="1"/>
  <c r="M85" i="14"/>
  <c r="G155" i="14"/>
  <c r="H156" i="14" s="1"/>
  <c r="H173" i="14" s="1"/>
  <c r="M84" i="12"/>
  <c r="I191" i="26"/>
  <c r="I256" i="26" s="1"/>
  <c r="I258" i="26" s="1"/>
  <c r="AD59" i="26"/>
  <c r="C176" i="26"/>
  <c r="T155" i="26" s="1"/>
  <c r="T157" i="26" s="1"/>
  <c r="J98" i="14"/>
  <c r="K99" i="14" s="1"/>
  <c r="K162" i="14" s="1"/>
  <c r="K164" i="14" s="1"/>
  <c r="AB145" i="14" s="1"/>
  <c r="AB149" i="14" s="1"/>
  <c r="C100" i="26"/>
  <c r="C164" i="26" s="1"/>
  <c r="C166" i="26" s="1"/>
  <c r="T150" i="26" s="1"/>
  <c r="T154" i="26" s="1"/>
  <c r="T159" i="26" s="1"/>
  <c r="G190" i="26"/>
  <c r="H191" i="26" s="1"/>
  <c r="H256" i="26" s="1"/>
  <c r="H258" i="26" s="1"/>
  <c r="Y245" i="26" s="1"/>
  <c r="Y249" i="26" s="1"/>
  <c r="L87" i="33"/>
  <c r="G86" i="26"/>
  <c r="K186" i="14"/>
  <c r="K195" i="14" s="1"/>
  <c r="AD52" i="12"/>
  <c r="AD54" i="12" s="1"/>
  <c r="AD56" i="12" s="1"/>
  <c r="W59" i="26"/>
  <c r="E86" i="14"/>
  <c r="F84" i="14" s="1"/>
  <c r="F86" i="14" s="1"/>
  <c r="G84" i="14" s="1"/>
  <c r="G86" i="14" s="1"/>
  <c r="H84" i="14" s="1"/>
  <c r="H86" i="14" s="1"/>
  <c r="I84" i="14" s="1"/>
  <c r="I86" i="14" s="1"/>
  <c r="J84" i="14" s="1"/>
  <c r="J186" i="14"/>
  <c r="Y9" i="12"/>
  <c r="J100" i="24"/>
  <c r="F191" i="26"/>
  <c r="F256" i="26" s="1"/>
  <c r="F258" i="26" s="1"/>
  <c r="T91" i="6"/>
  <c r="T93" i="6" s="1"/>
  <c r="G100" i="26"/>
  <c r="G164" i="26" s="1"/>
  <c r="G166" i="26" s="1"/>
  <c r="X150" i="26" s="1"/>
  <c r="X154" i="26" s="1"/>
  <c r="M87" i="24"/>
  <c r="M186" i="14"/>
  <c r="M195" i="14" s="1"/>
  <c r="N100" i="24"/>
  <c r="P101" i="24" s="1"/>
  <c r="W174" i="24" s="1"/>
  <c r="Y174" i="24" s="1"/>
  <c r="F199" i="26"/>
  <c r="F200" i="26" s="1"/>
  <c r="F259" i="26" s="1"/>
  <c r="K86" i="26"/>
  <c r="N180" i="6"/>
  <c r="N189" i="6" s="1"/>
  <c r="V58" i="14"/>
  <c r="W56" i="14" s="1"/>
  <c r="W58" i="14" s="1"/>
  <c r="X56" i="14" s="1"/>
  <c r="X58" i="14" s="1"/>
  <c r="Y56" i="14" s="1"/>
  <c r="Y58" i="14" s="1"/>
  <c r="Z56" i="14" s="1"/>
  <c r="L86" i="26"/>
  <c r="N100" i="33"/>
  <c r="P101" i="33" s="1"/>
  <c r="W174" i="33" s="1"/>
  <c r="Y174" i="33" s="1"/>
  <c r="C192" i="33" s="1"/>
  <c r="C257" i="33" s="1"/>
  <c r="C259" i="33" s="1"/>
  <c r="T245" i="33" s="1"/>
  <c r="T249" i="33" s="1"/>
  <c r="C106" i="14"/>
  <c r="C151" i="14" s="1"/>
  <c r="C154" i="14" s="1"/>
  <c r="C155" i="14" s="1"/>
  <c r="D156" i="14" s="1"/>
  <c r="D173" i="14" s="1"/>
  <c r="M107" i="14"/>
  <c r="M108" i="14" s="1"/>
  <c r="M165" i="14" s="1"/>
  <c r="M174" i="14" s="1"/>
  <c r="AD150" i="14" s="1"/>
  <c r="AD152" i="14" s="1"/>
  <c r="AC59" i="26"/>
  <c r="N155" i="14"/>
  <c r="P156" i="14" s="1"/>
  <c r="Y14" i="12"/>
  <c r="N87" i="24"/>
  <c r="E87" i="33"/>
  <c r="Z55" i="24"/>
  <c r="Z57" i="24" s="1"/>
  <c r="Z59" i="24" s="1"/>
  <c r="I87" i="24"/>
  <c r="H86" i="26"/>
  <c r="H102" i="6"/>
  <c r="H147" i="6" s="1"/>
  <c r="H150" i="6" s="1"/>
  <c r="H151" i="6" s="1"/>
  <c r="I152" i="6" s="1"/>
  <c r="I169" i="6" s="1"/>
  <c r="C99" i="22"/>
  <c r="D100" i="22" s="1"/>
  <c r="D164" i="22" s="1"/>
  <c r="D166" i="22" s="1"/>
  <c r="AA175" i="26"/>
  <c r="AA172" i="26" s="1"/>
  <c r="H100" i="24"/>
  <c r="L180" i="6"/>
  <c r="L181" i="6" s="1"/>
  <c r="L235" i="6" s="1"/>
  <c r="I186" i="14"/>
  <c r="I195" i="14" s="1"/>
  <c r="F107" i="14"/>
  <c r="F108" i="14" s="1"/>
  <c r="F165" i="14" s="1"/>
  <c r="F174" i="14" s="1"/>
  <c r="I155" i="14"/>
  <c r="J156" i="14" s="1"/>
  <c r="J173" i="14" s="1"/>
  <c r="E180" i="6"/>
  <c r="E189" i="6" s="1"/>
  <c r="K86" i="22"/>
  <c r="W55" i="33"/>
  <c r="W57" i="33" s="1"/>
  <c r="W59" i="33" s="1"/>
  <c r="Z53" i="14"/>
  <c r="Z55" i="14" s="1"/>
  <c r="Z57" i="14" s="1"/>
  <c r="M180" i="6"/>
  <c r="K180" i="6"/>
  <c r="K189" i="6" s="1"/>
  <c r="J99" i="22"/>
  <c r="K100" i="22" s="1"/>
  <c r="K164" i="22" s="1"/>
  <c r="K166" i="22" s="1"/>
  <c r="AB150" i="22" s="1"/>
  <c r="AB154" i="22" s="1"/>
  <c r="J180" i="6"/>
  <c r="F180" i="6"/>
  <c r="F181" i="6" s="1"/>
  <c r="F235" i="6" s="1"/>
  <c r="H85" i="32"/>
  <c r="C186" i="14"/>
  <c r="Y57" i="32"/>
  <c r="F186" i="14"/>
  <c r="F187" i="14" s="1"/>
  <c r="F241" i="14" s="1"/>
  <c r="F86" i="26"/>
  <c r="F87" i="24"/>
  <c r="N86" i="26"/>
  <c r="K87" i="24"/>
  <c r="J108" i="26"/>
  <c r="J109" i="26" s="1"/>
  <c r="J167" i="26" s="1"/>
  <c r="J176" i="26" s="1"/>
  <c r="AA155" i="26" s="1"/>
  <c r="AA157" i="26" s="1"/>
  <c r="L186" i="14"/>
  <c r="L187" i="14" s="1"/>
  <c r="L241" i="14" s="1"/>
  <c r="M86" i="26"/>
  <c r="W59" i="24"/>
  <c r="AE59" i="26"/>
  <c r="C85" i="32"/>
  <c r="C86" i="32" s="1"/>
  <c r="D84" i="32" s="1"/>
  <c r="D86" i="32" s="1"/>
  <c r="E84" i="32" s="1"/>
  <c r="E86" i="32" s="1"/>
  <c r="F84" i="32" s="1"/>
  <c r="F86" i="32" s="1"/>
  <c r="G84" i="32" s="1"/>
  <c r="I103" i="6"/>
  <c r="I104" i="6" s="1"/>
  <c r="I161" i="6" s="1"/>
  <c r="T160" i="14"/>
  <c r="L15" i="36" s="1"/>
  <c r="P197" i="26"/>
  <c r="T263" i="26" s="1"/>
  <c r="T269" i="26" s="1"/>
  <c r="D186" i="14"/>
  <c r="D195" i="14" s="1"/>
  <c r="G85" i="32"/>
  <c r="G186" i="14"/>
  <c r="G195" i="14" s="1"/>
  <c r="L86" i="22"/>
  <c r="C15" i="5"/>
  <c r="C20" i="5" s="1"/>
  <c r="C22" i="5" s="1"/>
  <c r="K10" i="5" s="1"/>
  <c r="K6" i="5" s="1"/>
  <c r="K17" i="5" s="1"/>
  <c r="T175" i="26"/>
  <c r="T180" i="26" s="1"/>
  <c r="T182" i="26" s="1"/>
  <c r="AA170" i="26" s="1"/>
  <c r="AA166" i="26" s="1"/>
  <c r="AA177" i="26" s="1"/>
  <c r="AD9" i="12"/>
  <c r="AD14" i="12" s="1"/>
  <c r="G180" i="6"/>
  <c r="G189" i="6" s="1"/>
  <c r="N99" i="22"/>
  <c r="P100" i="22" s="1"/>
  <c r="W174" i="22" s="1"/>
  <c r="Y174" i="22" s="1"/>
  <c r="C191" i="22" s="1"/>
  <c r="C256" i="22" s="1"/>
  <c r="C258" i="22" s="1"/>
  <c r="T245" i="22" s="1"/>
  <c r="T249" i="22" s="1"/>
  <c r="N176" i="26"/>
  <c r="AE155" i="26" s="1"/>
  <c r="AE157" i="26" s="1"/>
  <c r="M190" i="26"/>
  <c r="N191" i="26" s="1"/>
  <c r="N256" i="26" s="1"/>
  <c r="N258" i="26" s="1"/>
  <c r="AE245" i="26" s="1"/>
  <c r="AE249" i="26" s="1"/>
  <c r="V55" i="24"/>
  <c r="V57" i="24" s="1"/>
  <c r="V59" i="24" s="1"/>
  <c r="E87" i="24"/>
  <c r="Z55" i="26"/>
  <c r="Z57" i="26" s="1"/>
  <c r="Z59" i="26" s="1"/>
  <c r="I86" i="26"/>
  <c r="N147" i="6"/>
  <c r="N150" i="6" s="1"/>
  <c r="N151" i="6" s="1"/>
  <c r="P152" i="6" s="1"/>
  <c r="X123" i="6" s="1"/>
  <c r="X120" i="6" s="1"/>
  <c r="N103" i="6"/>
  <c r="N104" i="6" s="1"/>
  <c r="N161" i="6" s="1"/>
  <c r="N170" i="6" s="1"/>
  <c r="N172" i="6" s="1"/>
  <c r="C191" i="26"/>
  <c r="C256" i="26" s="1"/>
  <c r="C258" i="26" s="1"/>
  <c r="T245" i="26" s="1"/>
  <c r="T249" i="26" s="1"/>
  <c r="H100" i="33"/>
  <c r="I101" i="33" s="1"/>
  <c r="I165" i="33" s="1"/>
  <c r="I167" i="33" s="1"/>
  <c r="Z150" i="33" s="1"/>
  <c r="Z154" i="33" s="1"/>
  <c r="X47" i="12"/>
  <c r="X51" i="12" s="1"/>
  <c r="X56" i="12" s="1"/>
  <c r="G84" i="12"/>
  <c r="AB55" i="33"/>
  <c r="AB57" i="33" s="1"/>
  <c r="AB59" i="33" s="1"/>
  <c r="K87" i="33"/>
  <c r="C100" i="33"/>
  <c r="D101" i="33" s="1"/>
  <c r="D165" i="33" s="1"/>
  <c r="D167" i="33" s="1"/>
  <c r="U150" i="33" s="1"/>
  <c r="U154" i="33" s="1"/>
  <c r="C100" i="24"/>
  <c r="I100" i="24"/>
  <c r="E86" i="22"/>
  <c r="J100" i="33"/>
  <c r="K101" i="33" s="1"/>
  <c r="K165" i="33" s="1"/>
  <c r="K167" i="33" s="1"/>
  <c r="AB150" i="33" s="1"/>
  <c r="AB154" i="33" s="1"/>
  <c r="X9" i="12"/>
  <c r="X14" i="12" s="1"/>
  <c r="G100" i="24"/>
  <c r="U56" i="12"/>
  <c r="U57" i="12" s="1"/>
  <c r="V55" i="12" s="1"/>
  <c r="Z14" i="12"/>
  <c r="AC9" i="12"/>
  <c r="E86" i="26"/>
  <c r="N98" i="32"/>
  <c r="P99" i="32" s="1"/>
  <c r="W169" i="32" s="1"/>
  <c r="Y169" i="32" s="1"/>
  <c r="C189" i="32" s="1"/>
  <c r="C253" i="32" s="1"/>
  <c r="C255" i="32" s="1"/>
  <c r="T236" i="32" s="1"/>
  <c r="T240" i="32" s="1"/>
  <c r="P101" i="6"/>
  <c r="T94" i="6" s="1"/>
  <c r="T100" i="6" s="1"/>
  <c r="T101" i="6" s="1"/>
  <c r="T106" i="6" s="1"/>
  <c r="T108" i="6" s="1"/>
  <c r="X118" i="6" s="1"/>
  <c r="G98" i="32"/>
  <c r="H99" i="32" s="1"/>
  <c r="H162" i="32" s="1"/>
  <c r="H164" i="32" s="1"/>
  <c r="Y145" i="32" s="1"/>
  <c r="Y149" i="32" s="1"/>
  <c r="Z55" i="22"/>
  <c r="Z57" i="22" s="1"/>
  <c r="Z59" i="22" s="1"/>
  <c r="I86" i="22"/>
  <c r="N87" i="33"/>
  <c r="M172" i="6"/>
  <c r="K99" i="22"/>
  <c r="L100" i="22" s="1"/>
  <c r="L164" i="22" s="1"/>
  <c r="L166" i="22" s="1"/>
  <c r="AC150" i="22" s="1"/>
  <c r="AC154" i="22" s="1"/>
  <c r="AA55" i="33"/>
  <c r="AA57" i="33" s="1"/>
  <c r="AA59" i="33" s="1"/>
  <c r="J87" i="33"/>
  <c r="U59" i="33"/>
  <c r="U60" i="33" s="1"/>
  <c r="V58" i="33" s="1"/>
  <c r="V60" i="33" s="1"/>
  <c r="W58" i="33" s="1"/>
  <c r="AA50" i="24"/>
  <c r="AA54" i="24" s="1"/>
  <c r="AA59" i="24" s="1"/>
  <c r="J87" i="24"/>
  <c r="D87" i="33"/>
  <c r="W14" i="12"/>
  <c r="U159" i="26"/>
  <c r="E178" i="26"/>
  <c r="F103" i="6"/>
  <c r="F104" i="6" s="1"/>
  <c r="F161" i="6" s="1"/>
  <c r="F170" i="6" s="1"/>
  <c r="F172" i="6" s="1"/>
  <c r="M100" i="24"/>
  <c r="L100" i="33"/>
  <c r="M101" i="33" s="1"/>
  <c r="M165" i="33" s="1"/>
  <c r="M167" i="33" s="1"/>
  <c r="AD150" i="33" s="1"/>
  <c r="AD154" i="33" s="1"/>
  <c r="D178" i="26"/>
  <c r="V159" i="26"/>
  <c r="F85" i="6"/>
  <c r="G83" i="6" s="1"/>
  <c r="G85" i="6" s="1"/>
  <c r="H83" i="6" s="1"/>
  <c r="H85" i="6" s="1"/>
  <c r="I83" i="6" s="1"/>
  <c r="I85" i="6" s="1"/>
  <c r="J83" i="6" s="1"/>
  <c r="J85" i="6" s="1"/>
  <c r="K83" i="6" s="1"/>
  <c r="K85" i="6" s="1"/>
  <c r="L83" i="6" s="1"/>
  <c r="L85" i="6" s="1"/>
  <c r="M83" i="6" s="1"/>
  <c r="M85" i="6" s="1"/>
  <c r="N83" i="6" s="1"/>
  <c r="N85" i="6" s="1"/>
  <c r="Z245" i="26"/>
  <c r="Z249" i="26" s="1"/>
  <c r="AA170" i="14"/>
  <c r="AA167" i="14" s="1"/>
  <c r="C247" i="14"/>
  <c r="C264" i="14" s="1"/>
  <c r="AE145" i="14"/>
  <c r="AE149" i="14" s="1"/>
  <c r="D7" i="36"/>
  <c r="D5" i="36" s="1"/>
  <c r="D25" i="36"/>
  <c r="D23" i="36" s="1"/>
  <c r="J6" i="7"/>
  <c r="J59" i="7" s="1"/>
  <c r="J14" i="7"/>
  <c r="L107" i="22"/>
  <c r="L153" i="22" s="1"/>
  <c r="L156" i="22" s="1"/>
  <c r="L157" i="22" s="1"/>
  <c r="M158" i="22" s="1"/>
  <c r="M175" i="22" s="1"/>
  <c r="E187" i="14"/>
  <c r="E241" i="14" s="1"/>
  <c r="E195" i="14"/>
  <c r="L43" i="13"/>
  <c r="L44" i="13" s="1"/>
  <c r="L45" i="13" s="1"/>
  <c r="L104" i="12"/>
  <c r="L96" i="12"/>
  <c r="L149" i="12" s="1"/>
  <c r="I14" i="7"/>
  <c r="I6" i="7"/>
  <c r="I59" i="7" s="1"/>
  <c r="C106" i="32"/>
  <c r="C151" i="32" s="1"/>
  <c r="C154" i="32" s="1"/>
  <c r="C155" i="32" s="1"/>
  <c r="D156" i="32" s="1"/>
  <c r="D173" i="32" s="1"/>
  <c r="P105" i="32"/>
  <c r="T163" i="32" s="1"/>
  <c r="T169" i="32" s="1"/>
  <c r="P9" i="36"/>
  <c r="T260" i="26"/>
  <c r="T262" i="26" s="1"/>
  <c r="E100" i="33"/>
  <c r="F101" i="33" s="1"/>
  <c r="F165" i="33" s="1"/>
  <c r="F167" i="33" s="1"/>
  <c r="D108" i="33"/>
  <c r="D154" i="33" s="1"/>
  <c r="D157" i="33" s="1"/>
  <c r="D158" i="33" s="1"/>
  <c r="E159" i="33" s="1"/>
  <c r="E176" i="33" s="1"/>
  <c r="K94" i="6"/>
  <c r="L95" i="6" s="1"/>
  <c r="L158" i="6" s="1"/>
  <c r="L160" i="6" s="1"/>
  <c r="K151" i="6"/>
  <c r="L152" i="6" s="1"/>
  <c r="L169" i="6" s="1"/>
  <c r="Y79" i="32"/>
  <c r="K107" i="22"/>
  <c r="K153" i="22" s="1"/>
  <c r="K156" i="22" s="1"/>
  <c r="K157" i="22" s="1"/>
  <c r="L158" i="22" s="1"/>
  <c r="L175" i="22" s="1"/>
  <c r="L108" i="26"/>
  <c r="L109" i="26" s="1"/>
  <c r="L167" i="26" s="1"/>
  <c r="L176" i="26" s="1"/>
  <c r="AC155" i="26" s="1"/>
  <c r="AC157" i="26" s="1"/>
  <c r="F107" i="22"/>
  <c r="F153" i="22" s="1"/>
  <c r="F156" i="22" s="1"/>
  <c r="F157" i="22" s="1"/>
  <c r="G158" i="22" s="1"/>
  <c r="G175" i="22" s="1"/>
  <c r="K176" i="26"/>
  <c r="AB155" i="26" s="1"/>
  <c r="AB157" i="26" s="1"/>
  <c r="T145" i="32"/>
  <c r="T149" i="32" s="1"/>
  <c r="G188" i="22"/>
  <c r="L188" i="22"/>
  <c r="M188" i="22"/>
  <c r="N188" i="22"/>
  <c r="C188" i="22"/>
  <c r="F188" i="22"/>
  <c r="H188" i="22"/>
  <c r="I188" i="22"/>
  <c r="D188" i="22"/>
  <c r="T165" i="22"/>
  <c r="T167" i="22" s="1"/>
  <c r="J188" i="22"/>
  <c r="E188" i="22"/>
  <c r="K188" i="22"/>
  <c r="K104" i="12"/>
  <c r="K96" i="12"/>
  <c r="K149" i="12" s="1"/>
  <c r="D88" i="33"/>
  <c r="E86" i="33" s="1"/>
  <c r="AD145" i="32"/>
  <c r="AD149" i="32" s="1"/>
  <c r="AB6" i="12"/>
  <c r="AA7" i="12" s="1"/>
  <c r="AA9" i="12" s="1"/>
  <c r="AA14" i="12" s="1"/>
  <c r="X150" i="22"/>
  <c r="X154" i="22" s="1"/>
  <c r="U50" i="24"/>
  <c r="U54" i="24" s="1"/>
  <c r="U59" i="24" s="1"/>
  <c r="U60" i="24" s="1"/>
  <c r="V58" i="24" s="1"/>
  <c r="D87" i="24"/>
  <c r="D88" i="24" s="1"/>
  <c r="E86" i="24" s="1"/>
  <c r="D107" i="22"/>
  <c r="D153" i="22" s="1"/>
  <c r="D156" i="22" s="1"/>
  <c r="D157" i="22" s="1"/>
  <c r="E158" i="22" s="1"/>
  <c r="E175" i="22" s="1"/>
  <c r="U150" i="22"/>
  <c r="U154" i="22" s="1"/>
  <c r="L14" i="7"/>
  <c r="L6" i="7"/>
  <c r="L59" i="7" s="1"/>
  <c r="E14" i="7"/>
  <c r="E6" i="7"/>
  <c r="E59" i="7" s="1"/>
  <c r="E7" i="7"/>
  <c r="F8" i="7" s="1"/>
  <c r="F71" i="7" s="1"/>
  <c r="F73" i="7" s="1"/>
  <c r="G107" i="14"/>
  <c r="G108" i="14" s="1"/>
  <c r="G165" i="14" s="1"/>
  <c r="G174" i="14" s="1"/>
  <c r="X150" i="14" s="1"/>
  <c r="X152" i="14" s="1"/>
  <c r="U58" i="32"/>
  <c r="V56" i="32" s="1"/>
  <c r="V58" i="32" s="1"/>
  <c r="W56" i="32" s="1"/>
  <c r="W58" i="32" s="1"/>
  <c r="X56" i="32" s="1"/>
  <c r="X58" i="32" s="1"/>
  <c r="Y56" i="32" s="1"/>
  <c r="D199" i="26"/>
  <c r="D200" i="26" s="1"/>
  <c r="D259" i="26" s="1"/>
  <c r="D268" i="26" s="1"/>
  <c r="U250" i="26" s="1"/>
  <c r="U252" i="26" s="1"/>
  <c r="J108" i="33"/>
  <c r="J154" i="33" s="1"/>
  <c r="J157" i="33" s="1"/>
  <c r="J158" i="33" s="1"/>
  <c r="K159" i="33" s="1"/>
  <c r="K176" i="33" s="1"/>
  <c r="H87" i="33"/>
  <c r="H108" i="24"/>
  <c r="H154" i="24" s="1"/>
  <c r="H157" i="24" s="1"/>
  <c r="H158" i="24" s="1"/>
  <c r="I159" i="24" s="1"/>
  <c r="I176" i="24" s="1"/>
  <c r="D189" i="24"/>
  <c r="I189" i="24"/>
  <c r="N189" i="24"/>
  <c r="C189" i="24"/>
  <c r="E189" i="24"/>
  <c r="K189" i="24"/>
  <c r="L189" i="24"/>
  <c r="M189" i="24"/>
  <c r="J189" i="24"/>
  <c r="F189" i="24"/>
  <c r="G189" i="24"/>
  <c r="H189" i="24"/>
  <c r="T165" i="24"/>
  <c r="T167" i="24" s="1"/>
  <c r="AC145" i="14"/>
  <c r="AC149" i="14" s="1"/>
  <c r="F106" i="32"/>
  <c r="F151" i="32" s="1"/>
  <c r="F154" i="32" s="1"/>
  <c r="F155" i="32" s="1"/>
  <c r="G156" i="32" s="1"/>
  <c r="G173" i="32" s="1"/>
  <c r="P107" i="24"/>
  <c r="T168" i="24" s="1"/>
  <c r="T174" i="24" s="1"/>
  <c r="C108" i="24"/>
  <c r="C154" i="24" s="1"/>
  <c r="C157" i="24" s="1"/>
  <c r="C158" i="24" s="1"/>
  <c r="D159" i="24" s="1"/>
  <c r="D176" i="24" s="1"/>
  <c r="J187" i="14"/>
  <c r="J241" i="14" s="1"/>
  <c r="J195" i="14"/>
  <c r="E108" i="24"/>
  <c r="E154" i="24" s="1"/>
  <c r="E157" i="24" s="1"/>
  <c r="E158" i="24" s="1"/>
  <c r="F159" i="24" s="1"/>
  <c r="F176" i="24" s="1"/>
  <c r="E109" i="24"/>
  <c r="E110" i="24" s="1"/>
  <c r="E168" i="24" s="1"/>
  <c r="E100" i="24"/>
  <c r="F6" i="7"/>
  <c r="F59" i="7" s="1"/>
  <c r="F7" i="7"/>
  <c r="G8" i="7" s="1"/>
  <c r="G71" i="7" s="1"/>
  <c r="G73" i="7" s="1"/>
  <c r="F14" i="7"/>
  <c r="V47" i="12"/>
  <c r="V51" i="12" s="1"/>
  <c r="E84" i="12"/>
  <c r="E85" i="12" s="1"/>
  <c r="F83" i="12" s="1"/>
  <c r="F85" i="12" s="1"/>
  <c r="G83" i="12" s="1"/>
  <c r="J102" i="6"/>
  <c r="J147" i="6" s="1"/>
  <c r="J150" i="6" s="1"/>
  <c r="J151" i="6" s="1"/>
  <c r="K152" i="6" s="1"/>
  <c r="K169" i="6" s="1"/>
  <c r="V6" i="12"/>
  <c r="U7" i="12" s="1"/>
  <c r="U9" i="12" s="1"/>
  <c r="U14" i="12" s="1"/>
  <c r="U15" i="12" s="1"/>
  <c r="V13" i="12" s="1"/>
  <c r="N107" i="22"/>
  <c r="N153" i="22" s="1"/>
  <c r="N156" i="22" s="1"/>
  <c r="N157" i="22" s="1"/>
  <c r="P158" i="22" s="1"/>
  <c r="Y59" i="33"/>
  <c r="J198" i="26"/>
  <c r="J245" i="26" s="1"/>
  <c r="J248" i="26" s="1"/>
  <c r="J249" i="26" s="1"/>
  <c r="K250" i="26" s="1"/>
  <c r="K267" i="26" s="1"/>
  <c r="L51" i="36"/>
  <c r="L52" i="36" s="1"/>
  <c r="L53" i="36"/>
  <c r="Y150" i="33"/>
  <c r="Y154" i="33" s="1"/>
  <c r="N108" i="33"/>
  <c r="N154" i="33" s="1"/>
  <c r="N157" i="33" s="1"/>
  <c r="N158" i="33" s="1"/>
  <c r="P159" i="33" s="1"/>
  <c r="L106" i="32"/>
  <c r="L151" i="32" s="1"/>
  <c r="L154" i="32" s="1"/>
  <c r="L155" i="32" s="1"/>
  <c r="M156" i="32" s="1"/>
  <c r="M173" i="32" s="1"/>
  <c r="AB47" i="12"/>
  <c r="AB51" i="12" s="1"/>
  <c r="AB56" i="12" s="1"/>
  <c r="K84" i="12"/>
  <c r="G108" i="33"/>
  <c r="G154" i="33" s="1"/>
  <c r="G157" i="33" s="1"/>
  <c r="G158" i="33" s="1"/>
  <c r="H159" i="33" s="1"/>
  <c r="H176" i="33" s="1"/>
  <c r="V52" i="12"/>
  <c r="V54" i="12" s="1"/>
  <c r="V10" i="12"/>
  <c r="V12" i="12" s="1"/>
  <c r="I180" i="6"/>
  <c r="I189" i="6" s="1"/>
  <c r="AE150" i="22"/>
  <c r="AE154" i="22" s="1"/>
  <c r="J98" i="32"/>
  <c r="K99" i="32" s="1"/>
  <c r="K162" i="32" s="1"/>
  <c r="K164" i="32" s="1"/>
  <c r="D86" i="22"/>
  <c r="D87" i="22" s="1"/>
  <c r="E85" i="22" s="1"/>
  <c r="D99" i="22"/>
  <c r="E100" i="22" s="1"/>
  <c r="E164" i="22" s="1"/>
  <c r="E166" i="22" s="1"/>
  <c r="C6" i="7"/>
  <c r="C59" i="7" s="1"/>
  <c r="C14" i="7"/>
  <c r="P5" i="7"/>
  <c r="C4" i="8" s="1"/>
  <c r="G14" i="7"/>
  <c r="G6" i="7"/>
  <c r="G59" i="7" s="1"/>
  <c r="E98" i="32"/>
  <c r="F99" i="32" s="1"/>
  <c r="F162" i="32" s="1"/>
  <c r="F164" i="32" s="1"/>
  <c r="H180" i="6"/>
  <c r="H189" i="6" s="1"/>
  <c r="J106" i="32"/>
  <c r="J151" i="32" s="1"/>
  <c r="J154" i="32" s="1"/>
  <c r="J155" i="32" s="1"/>
  <c r="K156" i="32" s="1"/>
  <c r="K173" i="32" s="1"/>
  <c r="J107" i="32"/>
  <c r="J108" i="32" s="1"/>
  <c r="J165" i="32" s="1"/>
  <c r="U59" i="22"/>
  <c r="U60" i="22" s="1"/>
  <c r="V58" i="22" s="1"/>
  <c r="V60" i="22" s="1"/>
  <c r="W58" i="22" s="1"/>
  <c r="I106" i="32"/>
  <c r="I151" i="32" s="1"/>
  <c r="I154" i="32" s="1"/>
  <c r="I155" i="32" s="1"/>
  <c r="J156" i="32" s="1"/>
  <c r="J173" i="32" s="1"/>
  <c r="I107" i="32"/>
  <c r="I108" i="32" s="1"/>
  <c r="I165" i="32" s="1"/>
  <c r="J107" i="22"/>
  <c r="J153" i="22" s="1"/>
  <c r="J156" i="22" s="1"/>
  <c r="J157" i="22" s="1"/>
  <c r="K158" i="22" s="1"/>
  <c r="K175" i="22" s="1"/>
  <c r="Y150" i="26"/>
  <c r="Y154" i="26" s="1"/>
  <c r="Y159" i="26" s="1"/>
  <c r="H178" i="26"/>
  <c r="K108" i="33"/>
  <c r="K154" i="33" s="1"/>
  <c r="K157" i="33" s="1"/>
  <c r="K158" i="33" s="1"/>
  <c r="L159" i="33" s="1"/>
  <c r="L176" i="33" s="1"/>
  <c r="K109" i="33"/>
  <c r="K110" i="33" s="1"/>
  <c r="K168" i="33" s="1"/>
  <c r="F100" i="33"/>
  <c r="G101" i="33" s="1"/>
  <c r="G165" i="33" s="1"/>
  <c r="G167" i="33" s="1"/>
  <c r="P106" i="22"/>
  <c r="T168" i="22" s="1"/>
  <c r="T174" i="22" s="1"/>
  <c r="C107" i="22"/>
  <c r="C153" i="22" s="1"/>
  <c r="C156" i="22" s="1"/>
  <c r="C157" i="22" s="1"/>
  <c r="D158" i="22" s="1"/>
  <c r="D175" i="22" s="1"/>
  <c r="C96" i="12"/>
  <c r="C149" i="12" s="1"/>
  <c r="P95" i="12"/>
  <c r="T159" i="12" s="1"/>
  <c r="T161" i="12" s="1"/>
  <c r="C104" i="12"/>
  <c r="E106" i="32"/>
  <c r="E151" i="32" s="1"/>
  <c r="E154" i="32" s="1"/>
  <c r="E155" i="32" s="1"/>
  <c r="F156" i="32" s="1"/>
  <c r="F173" i="32" s="1"/>
  <c r="Y56" i="12"/>
  <c r="AA169" i="22"/>
  <c r="AA84" i="22"/>
  <c r="D101" i="24"/>
  <c r="D165" i="24" s="1"/>
  <c r="D167" i="24" s="1"/>
  <c r="C101" i="24"/>
  <c r="C165" i="24" s="1"/>
  <c r="C167" i="24" s="1"/>
  <c r="L101" i="24"/>
  <c r="L165" i="24" s="1"/>
  <c r="L167" i="24" s="1"/>
  <c r="U55" i="26"/>
  <c r="U57" i="26" s="1"/>
  <c r="U59" i="26" s="1"/>
  <c r="U60" i="26" s="1"/>
  <c r="V58" i="26" s="1"/>
  <c r="V60" i="26" s="1"/>
  <c r="W58" i="26" s="1"/>
  <c r="D86" i="26"/>
  <c r="D87" i="26" s="1"/>
  <c r="E85" i="26" s="1"/>
  <c r="M107" i="22"/>
  <c r="M153" i="22" s="1"/>
  <c r="M156" i="22" s="1"/>
  <c r="M157" i="22" s="1"/>
  <c r="N158" i="22" s="1"/>
  <c r="N175" i="22" s="1"/>
  <c r="E96" i="12"/>
  <c r="E149" i="12" s="1"/>
  <c r="E104" i="12"/>
  <c r="E107" i="22"/>
  <c r="E153" i="22" s="1"/>
  <c r="E156" i="22" s="1"/>
  <c r="E157" i="22" s="1"/>
  <c r="F158" i="22" s="1"/>
  <c r="F175" i="22" s="1"/>
  <c r="N106" i="32"/>
  <c r="N151" i="32" s="1"/>
  <c r="N154" i="32" s="1"/>
  <c r="N155" i="32" s="1"/>
  <c r="P156" i="32" s="1"/>
  <c r="N107" i="32"/>
  <c r="N108" i="32" s="1"/>
  <c r="N165" i="32" s="1"/>
  <c r="D107" i="14"/>
  <c r="D108" i="14" s="1"/>
  <c r="D165" i="14" s="1"/>
  <c r="F100" i="24"/>
  <c r="L100" i="24"/>
  <c r="L189" i="33"/>
  <c r="D189" i="33"/>
  <c r="E189" i="33"/>
  <c r="F189" i="33"/>
  <c r="H189" i="33"/>
  <c r="I189" i="33"/>
  <c r="K189" i="33"/>
  <c r="C189" i="33"/>
  <c r="T165" i="33"/>
  <c r="T167" i="33" s="1"/>
  <c r="G189" i="33"/>
  <c r="J189" i="33"/>
  <c r="N189" i="33"/>
  <c r="M189" i="33"/>
  <c r="F108" i="24"/>
  <c r="F154" i="24" s="1"/>
  <c r="F157" i="24" s="1"/>
  <c r="F158" i="24" s="1"/>
  <c r="G159" i="24" s="1"/>
  <c r="G176" i="24" s="1"/>
  <c r="D104" i="12"/>
  <c r="D96" i="12"/>
  <c r="D149" i="12" s="1"/>
  <c r="L108" i="24"/>
  <c r="L154" i="24" s="1"/>
  <c r="L157" i="24" s="1"/>
  <c r="L158" i="24" s="1"/>
  <c r="M159" i="24" s="1"/>
  <c r="M176" i="24" s="1"/>
  <c r="E191" i="26"/>
  <c r="E256" i="26" s="1"/>
  <c r="E258" i="26" s="1"/>
  <c r="N187" i="14"/>
  <c r="N241" i="14" s="1"/>
  <c r="N195" i="14"/>
  <c r="AE150" i="26"/>
  <c r="AE154" i="26" s="1"/>
  <c r="X145" i="14"/>
  <c r="X149" i="14" s="1"/>
  <c r="J108" i="24"/>
  <c r="J154" i="24" s="1"/>
  <c r="J157" i="24" s="1"/>
  <c r="J158" i="24" s="1"/>
  <c r="K159" i="24" s="1"/>
  <c r="K176" i="24" s="1"/>
  <c r="AB150" i="26"/>
  <c r="AB154" i="26" s="1"/>
  <c r="AA150" i="33"/>
  <c r="AA154" i="33" s="1"/>
  <c r="I108" i="33"/>
  <c r="I154" i="33" s="1"/>
  <c r="I157" i="33" s="1"/>
  <c r="I158" i="33" s="1"/>
  <c r="J159" i="33" s="1"/>
  <c r="J176" i="33" s="1"/>
  <c r="H107" i="14"/>
  <c r="H108" i="14" s="1"/>
  <c r="H165" i="14" s="1"/>
  <c r="H174" i="14" s="1"/>
  <c r="Y150" i="14" s="1"/>
  <c r="Y152" i="14" s="1"/>
  <c r="Z150" i="26"/>
  <c r="Z154" i="26" s="1"/>
  <c r="I107" i="14"/>
  <c r="I108" i="14" s="1"/>
  <c r="I165" i="14" s="1"/>
  <c r="I174" i="14" s="1"/>
  <c r="Z150" i="14" s="1"/>
  <c r="Z152" i="14" s="1"/>
  <c r="P107" i="33"/>
  <c r="T168" i="33" s="1"/>
  <c r="T174" i="33" s="1"/>
  <c r="C108" i="33"/>
  <c r="C154" i="33" s="1"/>
  <c r="C157" i="33" s="1"/>
  <c r="C158" i="33" s="1"/>
  <c r="D159" i="33" s="1"/>
  <c r="D176" i="33" s="1"/>
  <c r="I108" i="24"/>
  <c r="I154" i="24" s="1"/>
  <c r="I157" i="24" s="1"/>
  <c r="I158" i="24" s="1"/>
  <c r="J159" i="24" s="1"/>
  <c r="J176" i="24" s="1"/>
  <c r="H99" i="22"/>
  <c r="I100" i="22" s="1"/>
  <c r="I164" i="22" s="1"/>
  <c r="I166" i="22" s="1"/>
  <c r="H107" i="22"/>
  <c r="H153" i="22" s="1"/>
  <c r="H156" i="22" s="1"/>
  <c r="H157" i="22" s="1"/>
  <c r="I158" i="22" s="1"/>
  <c r="I175" i="22" s="1"/>
  <c r="N14" i="7"/>
  <c r="N6" i="7"/>
  <c r="H106" i="32"/>
  <c r="H151" i="32" s="1"/>
  <c r="H154" i="32" s="1"/>
  <c r="H155" i="32" s="1"/>
  <c r="I156" i="32" s="1"/>
  <c r="I173" i="32" s="1"/>
  <c r="W55" i="22"/>
  <c r="W57" i="22" s="1"/>
  <c r="W59" i="22" s="1"/>
  <c r="F86" i="22"/>
  <c r="L190" i="26"/>
  <c r="L16" i="36"/>
  <c r="T169" i="14"/>
  <c r="L16" i="13"/>
  <c r="D108" i="24"/>
  <c r="D154" i="24" s="1"/>
  <c r="D157" i="24" s="1"/>
  <c r="D158" i="24" s="1"/>
  <c r="E159" i="24" s="1"/>
  <c r="E176" i="24" s="1"/>
  <c r="D109" i="24"/>
  <c r="D110" i="24" s="1"/>
  <c r="D168" i="24" s="1"/>
  <c r="U245" i="26"/>
  <c r="U249" i="26" s="1"/>
  <c r="N85" i="14"/>
  <c r="AE53" i="14"/>
  <c r="AE55" i="14" s="1"/>
  <c r="AE57" i="14" s="1"/>
  <c r="D98" i="32"/>
  <c r="E99" i="32" s="1"/>
  <c r="E162" i="32" s="1"/>
  <c r="E164" i="32" s="1"/>
  <c r="N84" i="12"/>
  <c r="AE52" i="12"/>
  <c r="AE54" i="12" s="1"/>
  <c r="AE56" i="12" s="1"/>
  <c r="AE10" i="12"/>
  <c r="AE12" i="12" s="1"/>
  <c r="AE14" i="12" s="1"/>
  <c r="AC150" i="33"/>
  <c r="AC154" i="33" s="1"/>
  <c r="L174" i="14"/>
  <c r="AC150" i="14" s="1"/>
  <c r="AC152" i="14" s="1"/>
  <c r="H108" i="33"/>
  <c r="H154" i="33" s="1"/>
  <c r="H157" i="33" s="1"/>
  <c r="H158" i="33" s="1"/>
  <c r="I159" i="33" s="1"/>
  <c r="I176" i="33" s="1"/>
  <c r="H109" i="33"/>
  <c r="H110" i="33" s="1"/>
  <c r="H168" i="33" s="1"/>
  <c r="K101" i="24"/>
  <c r="K165" i="24" s="1"/>
  <c r="K167" i="24" s="1"/>
  <c r="F108" i="33"/>
  <c r="F154" i="33" s="1"/>
  <c r="F157" i="33" s="1"/>
  <c r="F158" i="33" s="1"/>
  <c r="G159" i="33" s="1"/>
  <c r="G176" i="33" s="1"/>
  <c r="J104" i="12"/>
  <c r="J96" i="12"/>
  <c r="AE150" i="33"/>
  <c r="AE154" i="33" s="1"/>
  <c r="F104" i="12"/>
  <c r="F96" i="12"/>
  <c r="F149" i="12" s="1"/>
  <c r="W245" i="26"/>
  <c r="W249" i="26" s="1"/>
  <c r="G106" i="32"/>
  <c r="G151" i="32" s="1"/>
  <c r="G154" i="32" s="1"/>
  <c r="G155" i="32" s="1"/>
  <c r="H156" i="32" s="1"/>
  <c r="H173" i="32" s="1"/>
  <c r="D180" i="6"/>
  <c r="D189" i="6" s="1"/>
  <c r="Y150" i="22"/>
  <c r="Y154" i="22" s="1"/>
  <c r="M198" i="26"/>
  <c r="M245" i="26" s="1"/>
  <c r="M248" i="26" s="1"/>
  <c r="M249" i="26" s="1"/>
  <c r="N250" i="26" s="1"/>
  <c r="N267" i="26" s="1"/>
  <c r="N268" i="26" s="1"/>
  <c r="AE250" i="26" s="1"/>
  <c r="AE252" i="26" s="1"/>
  <c r="AC52" i="12"/>
  <c r="AC54" i="12" s="1"/>
  <c r="AC56" i="12" s="1"/>
  <c r="AC10" i="12"/>
  <c r="AC12" i="12" s="1"/>
  <c r="AC14" i="12" s="1"/>
  <c r="F268" i="26"/>
  <c r="W250" i="26" s="1"/>
  <c r="W252" i="26" s="1"/>
  <c r="AA56" i="12"/>
  <c r="L15" i="13"/>
  <c r="G107" i="22"/>
  <c r="G153" i="22" s="1"/>
  <c r="G156" i="22" s="1"/>
  <c r="G157" i="22" s="1"/>
  <c r="H158" i="22" s="1"/>
  <c r="H175" i="22" s="1"/>
  <c r="G103" i="6"/>
  <c r="G104" i="6" s="1"/>
  <c r="G161" i="6" s="1"/>
  <c r="G170" i="6" s="1"/>
  <c r="G172" i="6" s="1"/>
  <c r="D187" i="14"/>
  <c r="D241" i="14" s="1"/>
  <c r="AD145" i="14"/>
  <c r="AD149" i="14" s="1"/>
  <c r="M106" i="32"/>
  <c r="M151" i="32" s="1"/>
  <c r="M154" i="32" s="1"/>
  <c r="M155" i="32" s="1"/>
  <c r="N156" i="32" s="1"/>
  <c r="N173" i="32" s="1"/>
  <c r="M107" i="32"/>
  <c r="M108" i="32" s="1"/>
  <c r="M165" i="32" s="1"/>
  <c r="D100" i="33"/>
  <c r="E101" i="33" s="1"/>
  <c r="E165" i="33" s="1"/>
  <c r="E167" i="33" s="1"/>
  <c r="K199" i="26"/>
  <c r="K200" i="26" s="1"/>
  <c r="K259" i="26" s="1"/>
  <c r="J107" i="14"/>
  <c r="J108" i="14" s="1"/>
  <c r="J165" i="14" s="1"/>
  <c r="N108" i="24"/>
  <c r="N154" i="24" s="1"/>
  <c r="N157" i="24" s="1"/>
  <c r="N158" i="24" s="1"/>
  <c r="P159" i="24" s="1"/>
  <c r="G96" i="12"/>
  <c r="G149" i="12" s="1"/>
  <c r="G104" i="12"/>
  <c r="C199" i="26"/>
  <c r="C200" i="26" s="1"/>
  <c r="C259" i="26" s="1"/>
  <c r="C268" i="26" s="1"/>
  <c r="T250" i="26" s="1"/>
  <c r="T252" i="26" s="1"/>
  <c r="E199" i="26"/>
  <c r="E200" i="26" s="1"/>
  <c r="E259" i="26" s="1"/>
  <c r="E268" i="26" s="1"/>
  <c r="V250" i="26" s="1"/>
  <c r="V252" i="26" s="1"/>
  <c r="H98" i="32"/>
  <c r="I99" i="32" s="1"/>
  <c r="I162" i="32" s="1"/>
  <c r="I164" i="32" s="1"/>
  <c r="L198" i="26"/>
  <c r="L245" i="26" s="1"/>
  <c r="L248" i="26" s="1"/>
  <c r="L249" i="26" s="1"/>
  <c r="M250" i="26" s="1"/>
  <c r="M267" i="26" s="1"/>
  <c r="K103" i="6"/>
  <c r="K104" i="6" s="1"/>
  <c r="K161" i="6" s="1"/>
  <c r="K170" i="6" s="1"/>
  <c r="K172" i="6" s="1"/>
  <c r="M96" i="12"/>
  <c r="M149" i="12" s="1"/>
  <c r="M104" i="12"/>
  <c r="AA145" i="32"/>
  <c r="AA149" i="32" s="1"/>
  <c r="M108" i="33"/>
  <c r="M154" i="33" s="1"/>
  <c r="M157" i="33" s="1"/>
  <c r="M158" i="33" s="1"/>
  <c r="N159" i="33" s="1"/>
  <c r="N176" i="33" s="1"/>
  <c r="M109" i="33"/>
  <c r="M110" i="33" s="1"/>
  <c r="M168" i="33" s="1"/>
  <c r="M100" i="26"/>
  <c r="M164" i="26" s="1"/>
  <c r="M166" i="26" s="1"/>
  <c r="L100" i="26"/>
  <c r="L164" i="26" s="1"/>
  <c r="L166" i="26" s="1"/>
  <c r="N107" i="14"/>
  <c r="N108" i="14" s="1"/>
  <c r="N165" i="14" s="1"/>
  <c r="N174" i="14" s="1"/>
  <c r="AE150" i="14" s="1"/>
  <c r="AE152" i="14" s="1"/>
  <c r="J100" i="26"/>
  <c r="J164" i="26" s="1"/>
  <c r="J166" i="26" s="1"/>
  <c r="E99" i="22"/>
  <c r="F100" i="22" s="1"/>
  <c r="F164" i="22" s="1"/>
  <c r="F166" i="22" s="1"/>
  <c r="M108" i="24"/>
  <c r="M154" i="24" s="1"/>
  <c r="M157" i="24" s="1"/>
  <c r="M158" i="24" s="1"/>
  <c r="N159" i="24" s="1"/>
  <c r="N176" i="24" s="1"/>
  <c r="N104" i="12"/>
  <c r="N96" i="12"/>
  <c r="N149" i="12" s="1"/>
  <c r="C103" i="6"/>
  <c r="C104" i="6" s="1"/>
  <c r="C161" i="6" s="1"/>
  <c r="C170" i="6" s="1"/>
  <c r="C172" i="6" s="1"/>
  <c r="M98" i="32"/>
  <c r="N99" i="32" s="1"/>
  <c r="N162" i="32" s="1"/>
  <c r="N164" i="32" s="1"/>
  <c r="G108" i="24"/>
  <c r="G154" i="24" s="1"/>
  <c r="G157" i="24" s="1"/>
  <c r="G158" i="24" s="1"/>
  <c r="H159" i="24" s="1"/>
  <c r="H176" i="24" s="1"/>
  <c r="C7" i="36"/>
  <c r="C5" i="36" s="1"/>
  <c r="C25" i="36"/>
  <c r="C23" i="36" s="1"/>
  <c r="M6" i="7"/>
  <c r="M59" i="7" s="1"/>
  <c r="M14" i="7"/>
  <c r="Z145" i="14"/>
  <c r="Z149" i="14" s="1"/>
  <c r="T236" i="14"/>
  <c r="T240" i="14" s="1"/>
  <c r="K98" i="32"/>
  <c r="L99" i="32" s="1"/>
  <c r="L162" i="32" s="1"/>
  <c r="L164" i="32" s="1"/>
  <c r="X55" i="33"/>
  <c r="X57" i="33" s="1"/>
  <c r="X59" i="33" s="1"/>
  <c r="G87" i="33"/>
  <c r="G198" i="26"/>
  <c r="G245" i="26" s="1"/>
  <c r="G248" i="26" s="1"/>
  <c r="G249" i="26" s="1"/>
  <c r="H250" i="26" s="1"/>
  <c r="H267" i="26" s="1"/>
  <c r="H268" i="26" s="1"/>
  <c r="AD150" i="22"/>
  <c r="AD154" i="22" s="1"/>
  <c r="D6" i="7"/>
  <c r="D59" i="7" s="1"/>
  <c r="D14" i="7"/>
  <c r="U145" i="32"/>
  <c r="U149" i="32" s="1"/>
  <c r="L108" i="33"/>
  <c r="L154" i="33" s="1"/>
  <c r="L157" i="33" s="1"/>
  <c r="L158" i="33" s="1"/>
  <c r="M159" i="33" s="1"/>
  <c r="M176" i="33" s="1"/>
  <c r="K106" i="32"/>
  <c r="K151" i="32" s="1"/>
  <c r="K154" i="32" s="1"/>
  <c r="K155" i="32" s="1"/>
  <c r="L156" i="32" s="1"/>
  <c r="L173" i="32" s="1"/>
  <c r="L103" i="6"/>
  <c r="L104" i="6" s="1"/>
  <c r="L161" i="6" s="1"/>
  <c r="E103" i="6"/>
  <c r="E104" i="6" s="1"/>
  <c r="E161" i="6" s="1"/>
  <c r="E170" i="6" s="1"/>
  <c r="E172" i="6" s="1"/>
  <c r="F98" i="32"/>
  <c r="G99" i="32" s="1"/>
  <c r="G162" i="32" s="1"/>
  <c r="G164" i="32" s="1"/>
  <c r="D106" i="32"/>
  <c r="D151" i="32" s="1"/>
  <c r="D154" i="32" s="1"/>
  <c r="D155" i="32" s="1"/>
  <c r="E156" i="32" s="1"/>
  <c r="E173" i="32" s="1"/>
  <c r="H195" i="14"/>
  <c r="H187" i="14"/>
  <c r="H241" i="14" s="1"/>
  <c r="J190" i="26"/>
  <c r="K191" i="26" s="1"/>
  <c r="K256" i="26" s="1"/>
  <c r="K258" i="26" s="1"/>
  <c r="K107" i="14"/>
  <c r="K108" i="14" s="1"/>
  <c r="K165" i="14" s="1"/>
  <c r="K174" i="14" s="1"/>
  <c r="AB150" i="14" s="1"/>
  <c r="AB152" i="14" s="1"/>
  <c r="M108" i="26"/>
  <c r="M109" i="26" s="1"/>
  <c r="M167" i="26" s="1"/>
  <c r="M176" i="26" s="1"/>
  <c r="AD155" i="26" s="1"/>
  <c r="AD157" i="26" s="1"/>
  <c r="I104" i="12"/>
  <c r="I96" i="12"/>
  <c r="I149" i="12" s="1"/>
  <c r="H96" i="12"/>
  <c r="H149" i="12" s="1"/>
  <c r="H104" i="12"/>
  <c r="I99" i="22"/>
  <c r="J100" i="22" s="1"/>
  <c r="J164" i="22" s="1"/>
  <c r="J166" i="22" s="1"/>
  <c r="K108" i="24"/>
  <c r="K154" i="24" s="1"/>
  <c r="K157" i="24" s="1"/>
  <c r="K158" i="24" s="1"/>
  <c r="L159" i="24" s="1"/>
  <c r="L176" i="24" s="1"/>
  <c r="E107" i="14"/>
  <c r="E108" i="14" s="1"/>
  <c r="E165" i="14" s="1"/>
  <c r="E174" i="14" s="1"/>
  <c r="I108" i="26"/>
  <c r="I109" i="26" s="1"/>
  <c r="I167" i="26" s="1"/>
  <c r="I176" i="26" s="1"/>
  <c r="Z155" i="26" s="1"/>
  <c r="Z157" i="26" s="1"/>
  <c r="AA82" i="14"/>
  <c r="AA164" i="14"/>
  <c r="H14" i="7"/>
  <c r="H6" i="7"/>
  <c r="H59" i="7" s="1"/>
  <c r="K6" i="7"/>
  <c r="K59" i="7" s="1"/>
  <c r="K14" i="7"/>
  <c r="I107" i="22"/>
  <c r="I153" i="22" s="1"/>
  <c r="I156" i="22" s="1"/>
  <c r="I157" i="22" s="1"/>
  <c r="J158" i="22" s="1"/>
  <c r="J175" i="22" s="1"/>
  <c r="M186" i="32"/>
  <c r="J186" i="32"/>
  <c r="F186" i="32"/>
  <c r="G186" i="32"/>
  <c r="N186" i="32"/>
  <c r="E186" i="32"/>
  <c r="H186" i="32"/>
  <c r="C186" i="32"/>
  <c r="K186" i="32"/>
  <c r="L186" i="32"/>
  <c r="I186" i="32"/>
  <c r="D186" i="32"/>
  <c r="T160" i="32"/>
  <c r="T162" i="32" s="1"/>
  <c r="AA53" i="14"/>
  <c r="AA55" i="14" s="1"/>
  <c r="AA57" i="14" s="1"/>
  <c r="J85" i="14"/>
  <c r="E108" i="33"/>
  <c r="E154" i="33" s="1"/>
  <c r="E157" i="33" s="1"/>
  <c r="E158" i="33" s="1"/>
  <c r="F159" i="33" s="1"/>
  <c r="F176" i="33" s="1"/>
  <c r="AA164" i="32"/>
  <c r="AA82" i="32"/>
  <c r="AA169" i="33"/>
  <c r="AA84" i="33"/>
  <c r="I198" i="26"/>
  <c r="I245" i="26" s="1"/>
  <c r="I248" i="26" s="1"/>
  <c r="I249" i="26" s="1"/>
  <c r="J250" i="26" s="1"/>
  <c r="J267" i="26" s="1"/>
  <c r="L84" i="12"/>
  <c r="G108" i="26"/>
  <c r="G109" i="26" s="1"/>
  <c r="G167" i="26" s="1"/>
  <c r="G176" i="26" s="1"/>
  <c r="X155" i="26" s="1"/>
  <c r="X157" i="26" s="1"/>
  <c r="C189" i="6"/>
  <c r="C181" i="6"/>
  <c r="C235" i="6" s="1"/>
  <c r="M181" i="6"/>
  <c r="M235" i="6" s="1"/>
  <c r="M189" i="6"/>
  <c r="K181" i="6"/>
  <c r="K235" i="6" s="1"/>
  <c r="J181" i="6"/>
  <c r="J235" i="6" s="1"/>
  <c r="J189" i="6"/>
  <c r="J182" i="6"/>
  <c r="K183" i="6" s="1"/>
  <c r="K247" i="6" s="1"/>
  <c r="K249" i="6" s="1"/>
  <c r="G181" i="6"/>
  <c r="G235" i="6" s="1"/>
  <c r="C241" i="6"/>
  <c r="C258" i="6" s="1"/>
  <c r="C183" i="6"/>
  <c r="C247" i="6" s="1"/>
  <c r="C249" i="6" s="1"/>
  <c r="D170" i="6"/>
  <c r="D172" i="6" s="1"/>
  <c r="F103" i="41" l="1"/>
  <c r="F104" i="41" s="1"/>
  <c r="F161" i="41" s="1"/>
  <c r="E103" i="41"/>
  <c r="E104" i="41" s="1"/>
  <c r="E161" i="41" s="1"/>
  <c r="I103" i="41"/>
  <c r="I104" i="41" s="1"/>
  <c r="I161" i="41" s="1"/>
  <c r="I170" i="41" s="1"/>
  <c r="I172" i="41" s="1"/>
  <c r="T94" i="41"/>
  <c r="T100" i="41" s="1"/>
  <c r="T101" i="41" s="1"/>
  <c r="T106" i="41" s="1"/>
  <c r="T108" i="41" s="1"/>
  <c r="X118" i="41" s="1"/>
  <c r="X114" i="41" s="1"/>
  <c r="C103" i="41"/>
  <c r="C104" i="41" s="1"/>
  <c r="C161" i="41" s="1"/>
  <c r="C170" i="41" s="1"/>
  <c r="C172" i="41" s="1"/>
  <c r="D103" i="41"/>
  <c r="D104" i="41" s="1"/>
  <c r="D161" i="41" s="1"/>
  <c r="D170" i="41" s="1"/>
  <c r="D172" i="41" s="1"/>
  <c r="I378" i="41"/>
  <c r="I370" i="41"/>
  <c r="D276" i="41"/>
  <c r="D330" i="41" s="1"/>
  <c r="D284" i="41"/>
  <c r="J370" i="41"/>
  <c r="J424" i="41" s="1"/>
  <c r="J378" i="41"/>
  <c r="E276" i="41"/>
  <c r="E330" i="41" s="1"/>
  <c r="E284" i="41"/>
  <c r="E277" i="41"/>
  <c r="F278" i="41" s="1"/>
  <c r="F342" i="41" s="1"/>
  <c r="F344" i="41" s="1"/>
  <c r="F170" i="41"/>
  <c r="F172" i="41" s="1"/>
  <c r="K370" i="41"/>
  <c r="K424" i="41" s="1"/>
  <c r="K378" i="41"/>
  <c r="C276" i="41"/>
  <c r="C330" i="41" s="1"/>
  <c r="C284" i="41"/>
  <c r="P275" i="41"/>
  <c r="T274" i="41" s="1"/>
  <c r="T276" i="41" s="1"/>
  <c r="H103" i="41"/>
  <c r="H104" i="41" s="1"/>
  <c r="H161" i="41" s="1"/>
  <c r="H170" i="41" s="1"/>
  <c r="H172" i="41" s="1"/>
  <c r="F276" i="41"/>
  <c r="F330" i="41" s="1"/>
  <c r="F284" i="41"/>
  <c r="L370" i="41"/>
  <c r="L424" i="41" s="1"/>
  <c r="L378" i="41"/>
  <c r="G284" i="41"/>
  <c r="G276" i="41"/>
  <c r="G330" i="41" s="1"/>
  <c r="M370" i="41"/>
  <c r="M424" i="41" s="1"/>
  <c r="M378" i="41"/>
  <c r="H284" i="41"/>
  <c r="H276" i="41"/>
  <c r="H330" i="41" s="1"/>
  <c r="H378" i="41"/>
  <c r="H370" i="41"/>
  <c r="H424" i="41" s="1"/>
  <c r="N370" i="41"/>
  <c r="N424" i="41" s="1"/>
  <c r="N378" i="41"/>
  <c r="I284" i="41"/>
  <c r="I276" i="41"/>
  <c r="I330" i="41" s="1"/>
  <c r="J276" i="41"/>
  <c r="J330" i="41" s="1"/>
  <c r="J284" i="41"/>
  <c r="C370" i="41"/>
  <c r="C424" i="41" s="1"/>
  <c r="C378" i="41"/>
  <c r="P369" i="41"/>
  <c r="T368" i="41" s="1"/>
  <c r="T370" i="41" s="1"/>
  <c r="K276" i="41"/>
  <c r="K330" i="41" s="1"/>
  <c r="K284" i="41"/>
  <c r="K277" i="41"/>
  <c r="L278" i="41" s="1"/>
  <c r="L342" i="41" s="1"/>
  <c r="L344" i="41" s="1"/>
  <c r="D370" i="41"/>
  <c r="D424" i="41" s="1"/>
  <c r="D378" i="41"/>
  <c r="L276" i="41"/>
  <c r="L330" i="41" s="1"/>
  <c r="L284" i="41"/>
  <c r="E370" i="41"/>
  <c r="E424" i="41" s="1"/>
  <c r="E378" i="41"/>
  <c r="E371" i="41"/>
  <c r="F372" i="41" s="1"/>
  <c r="F436" i="41" s="1"/>
  <c r="F438" i="41" s="1"/>
  <c r="M276" i="41"/>
  <c r="M330" i="41" s="1"/>
  <c r="M284" i="41"/>
  <c r="F370" i="41"/>
  <c r="F424" i="41" s="1"/>
  <c r="F378" i="41"/>
  <c r="N284" i="41"/>
  <c r="N276" i="41"/>
  <c r="N330" i="41" s="1"/>
  <c r="G378" i="41"/>
  <c r="G370" i="41"/>
  <c r="G424" i="41" s="1"/>
  <c r="C243" i="41"/>
  <c r="C260" i="41" s="1"/>
  <c r="X120" i="41"/>
  <c r="G183" i="41"/>
  <c r="G237" i="41" s="1"/>
  <c r="G191" i="41"/>
  <c r="F183" i="41"/>
  <c r="F237" i="41" s="1"/>
  <c r="F191" i="41"/>
  <c r="H183" i="41"/>
  <c r="H237" i="41" s="1"/>
  <c r="H191" i="41"/>
  <c r="I191" i="41"/>
  <c r="I183" i="41"/>
  <c r="I237" i="41" s="1"/>
  <c r="J183" i="41"/>
  <c r="J237" i="41" s="1"/>
  <c r="J191" i="41"/>
  <c r="G170" i="41"/>
  <c r="G172" i="41" s="1"/>
  <c r="K191" i="41"/>
  <c r="K183" i="41"/>
  <c r="K237" i="41" s="1"/>
  <c r="J170" i="41"/>
  <c r="J172" i="41" s="1"/>
  <c r="L191" i="41"/>
  <c r="L183" i="41"/>
  <c r="L237" i="41" s="1"/>
  <c r="M191" i="41"/>
  <c r="M183" i="41"/>
  <c r="M237" i="41" s="1"/>
  <c r="L103" i="41"/>
  <c r="L104" i="41" s="1"/>
  <c r="L161" i="41" s="1"/>
  <c r="L170" i="41" s="1"/>
  <c r="L172" i="41" s="1"/>
  <c r="E183" i="41"/>
  <c r="E237" i="41" s="1"/>
  <c r="E191" i="41"/>
  <c r="E184" i="41"/>
  <c r="F185" i="41" s="1"/>
  <c r="F249" i="41" s="1"/>
  <c r="F251" i="41" s="1"/>
  <c r="N191" i="41"/>
  <c r="N183" i="41"/>
  <c r="N237" i="41" s="1"/>
  <c r="V122" i="41"/>
  <c r="P85" i="41"/>
  <c r="C171" i="41" s="1"/>
  <c r="N103" i="41"/>
  <c r="N104" i="41" s="1"/>
  <c r="N161" i="41" s="1"/>
  <c r="N170" i="41" s="1"/>
  <c r="N172" i="41" s="1"/>
  <c r="K103" i="41"/>
  <c r="K104" i="41" s="1"/>
  <c r="K161" i="41" s="1"/>
  <c r="K170" i="41" s="1"/>
  <c r="K172" i="41" s="1"/>
  <c r="D183" i="41"/>
  <c r="D237" i="41" s="1"/>
  <c r="D191" i="41"/>
  <c r="E170" i="41"/>
  <c r="E172" i="41" s="1"/>
  <c r="C191" i="41"/>
  <c r="C183" i="41"/>
  <c r="C237" i="41" s="1"/>
  <c r="P182" i="41"/>
  <c r="M103" i="41"/>
  <c r="M104" i="41" s="1"/>
  <c r="M161" i="41" s="1"/>
  <c r="M170" i="41" s="1"/>
  <c r="M172" i="41" s="1"/>
  <c r="I101" i="24"/>
  <c r="I165" i="24" s="1"/>
  <c r="I167" i="24" s="1"/>
  <c r="M182" i="6"/>
  <c r="N183" i="6" s="1"/>
  <c r="N247" i="6" s="1"/>
  <c r="N249" i="6" s="1"/>
  <c r="L199" i="26"/>
  <c r="L200" i="26" s="1"/>
  <c r="L259" i="26" s="1"/>
  <c r="L268" i="26" s="1"/>
  <c r="AC250" i="26" s="1"/>
  <c r="AC252" i="26" s="1"/>
  <c r="W60" i="26"/>
  <c r="X58" i="26" s="1"/>
  <c r="X60" i="26" s="1"/>
  <c r="Y58" i="26" s="1"/>
  <c r="Y60" i="26" s="1"/>
  <c r="Z58" i="26" s="1"/>
  <c r="I174" i="32"/>
  <c r="Z150" i="32" s="1"/>
  <c r="Z152" i="32" s="1"/>
  <c r="N178" i="26"/>
  <c r="C178" i="26"/>
  <c r="N101" i="24"/>
  <c r="N165" i="24" s="1"/>
  <c r="N167" i="24" s="1"/>
  <c r="AE150" i="24" s="1"/>
  <c r="AE154" i="24" s="1"/>
  <c r="K187" i="14"/>
  <c r="K241" i="14" s="1"/>
  <c r="M187" i="14"/>
  <c r="M241" i="14" s="1"/>
  <c r="E88" i="33"/>
  <c r="F86" i="33" s="1"/>
  <c r="F88" i="33" s="1"/>
  <c r="G86" i="33" s="1"/>
  <c r="G88" i="33" s="1"/>
  <c r="H86" i="33" s="1"/>
  <c r="H88" i="33" s="1"/>
  <c r="I86" i="33" s="1"/>
  <c r="I88" i="33" s="1"/>
  <c r="J86" i="33" s="1"/>
  <c r="J88" i="33" s="1"/>
  <c r="K86" i="33" s="1"/>
  <c r="K88" i="33" s="1"/>
  <c r="L86" i="33" s="1"/>
  <c r="L88" i="33" s="1"/>
  <c r="M86" i="33" s="1"/>
  <c r="M88" i="33" s="1"/>
  <c r="N86" i="33" s="1"/>
  <c r="N88" i="33" s="1"/>
  <c r="P88" i="33" s="1"/>
  <c r="F189" i="6"/>
  <c r="F191" i="6" s="1"/>
  <c r="F192" i="6" s="1"/>
  <c r="F250" i="6" s="1"/>
  <c r="G191" i="26"/>
  <c r="G256" i="26" s="1"/>
  <c r="G258" i="26" s="1"/>
  <c r="G101" i="24"/>
  <c r="G165" i="24" s="1"/>
  <c r="G167" i="24" s="1"/>
  <c r="X150" i="24" s="1"/>
  <c r="X154" i="24" s="1"/>
  <c r="G182" i="6"/>
  <c r="H183" i="6" s="1"/>
  <c r="H247" i="6" s="1"/>
  <c r="H249" i="6" s="1"/>
  <c r="F107" i="32"/>
  <c r="F108" i="32" s="1"/>
  <c r="F165" i="32" s="1"/>
  <c r="F174" i="32" s="1"/>
  <c r="W150" i="32" s="1"/>
  <c r="W152" i="32" s="1"/>
  <c r="C107" i="14"/>
  <c r="C108" i="14" s="1"/>
  <c r="C165" i="14" s="1"/>
  <c r="C174" i="14" s="1"/>
  <c r="AA264" i="26"/>
  <c r="I187" i="14"/>
  <c r="I241" i="14" s="1"/>
  <c r="D174" i="14"/>
  <c r="U150" i="14" s="1"/>
  <c r="U152" i="14" s="1"/>
  <c r="U154" i="14" s="1"/>
  <c r="J86" i="14"/>
  <c r="K84" i="14" s="1"/>
  <c r="K86" i="14" s="1"/>
  <c r="L84" i="14" s="1"/>
  <c r="L86" i="14" s="1"/>
  <c r="M84" i="14" s="1"/>
  <c r="M86" i="14" s="1"/>
  <c r="N84" i="14" s="1"/>
  <c r="C187" i="14"/>
  <c r="C241" i="14" s="1"/>
  <c r="J174" i="14"/>
  <c r="AA150" i="14" s="1"/>
  <c r="AA152" i="14" s="1"/>
  <c r="AA154" i="14" s="1"/>
  <c r="C109" i="24"/>
  <c r="C110" i="24" s="1"/>
  <c r="C168" i="24" s="1"/>
  <c r="C177" i="24" s="1"/>
  <c r="T155" i="24" s="1"/>
  <c r="T157" i="24" s="1"/>
  <c r="L20" i="36"/>
  <c r="M47" i="36" s="1"/>
  <c r="M49" i="36" s="1"/>
  <c r="M51" i="36" s="1"/>
  <c r="M52" i="36" s="1"/>
  <c r="M53" i="36" s="1"/>
  <c r="I170" i="6"/>
  <c r="I172" i="6" s="1"/>
  <c r="H103" i="6"/>
  <c r="H104" i="6" s="1"/>
  <c r="H161" i="6" s="1"/>
  <c r="H170" i="6" s="1"/>
  <c r="H172" i="6" s="1"/>
  <c r="N181" i="6"/>
  <c r="N235" i="6" s="1"/>
  <c r="G86" i="32"/>
  <c r="H84" i="32" s="1"/>
  <c r="H86" i="32" s="1"/>
  <c r="I84" i="32" s="1"/>
  <c r="I86" i="32" s="1"/>
  <c r="J84" i="32" s="1"/>
  <c r="J86" i="32" s="1"/>
  <c r="K84" i="32" s="1"/>
  <c r="K86" i="32" s="1"/>
  <c r="L84" i="32" s="1"/>
  <c r="L86" i="32" s="1"/>
  <c r="M84" i="32" s="1"/>
  <c r="M86" i="32" s="1"/>
  <c r="N84" i="32" s="1"/>
  <c r="N86" i="32" s="1"/>
  <c r="P86" i="32" s="1"/>
  <c r="C182" i="6"/>
  <c r="D183" i="6" s="1"/>
  <c r="D247" i="6" s="1"/>
  <c r="D249" i="6" s="1"/>
  <c r="L176" i="14"/>
  <c r="AB154" i="14"/>
  <c r="L189" i="6"/>
  <c r="N97" i="12"/>
  <c r="P98" i="12" s="1"/>
  <c r="W168" i="12" s="1"/>
  <c r="Y168" i="12" s="1"/>
  <c r="J101" i="24"/>
  <c r="J165" i="24" s="1"/>
  <c r="J167" i="24" s="1"/>
  <c r="AA150" i="24" s="1"/>
  <c r="AA154" i="24" s="1"/>
  <c r="X154" i="14"/>
  <c r="H101" i="24"/>
  <c r="H165" i="24" s="1"/>
  <c r="H167" i="24" s="1"/>
  <c r="Y150" i="24" s="1"/>
  <c r="Y154" i="24" s="1"/>
  <c r="X114" i="6"/>
  <c r="X125" i="6" s="1"/>
  <c r="X206" i="6"/>
  <c r="H181" i="6"/>
  <c r="H235" i="6" s="1"/>
  <c r="F195" i="14"/>
  <c r="F196" i="14" s="1"/>
  <c r="F242" i="14" s="1"/>
  <c r="F245" i="14" s="1"/>
  <c r="F246" i="14" s="1"/>
  <c r="G247" i="14" s="1"/>
  <c r="G264" i="14" s="1"/>
  <c r="N270" i="26"/>
  <c r="M101" i="24"/>
  <c r="M165" i="24" s="1"/>
  <c r="M167" i="24" s="1"/>
  <c r="AD150" i="24" s="1"/>
  <c r="AD154" i="24" s="1"/>
  <c r="F188" i="14"/>
  <c r="G189" i="14" s="1"/>
  <c r="G253" i="14" s="1"/>
  <c r="G255" i="14" s="1"/>
  <c r="X236" i="14" s="1"/>
  <c r="X240" i="14" s="1"/>
  <c r="P8" i="13"/>
  <c r="Q8" i="13" s="1"/>
  <c r="D7" i="13" s="1"/>
  <c r="D5" i="13" s="1"/>
  <c r="E87" i="22"/>
  <c r="F85" i="22" s="1"/>
  <c r="F87" i="22" s="1"/>
  <c r="G85" i="22" s="1"/>
  <c r="G87" i="22" s="1"/>
  <c r="H85" i="22" s="1"/>
  <c r="H87" i="22" s="1"/>
  <c r="I85" i="22" s="1"/>
  <c r="I87" i="22" s="1"/>
  <c r="J85" i="22" s="1"/>
  <c r="J87" i="22" s="1"/>
  <c r="K85" i="22" s="1"/>
  <c r="K87" i="22" s="1"/>
  <c r="L85" i="22" s="1"/>
  <c r="L87" i="22" s="1"/>
  <c r="M85" i="22" s="1"/>
  <c r="M87" i="22" s="1"/>
  <c r="N85" i="22" s="1"/>
  <c r="N87" i="22" s="1"/>
  <c r="P87" i="22" s="1"/>
  <c r="Y58" i="32"/>
  <c r="Z56" i="32" s="1"/>
  <c r="Z58" i="32" s="1"/>
  <c r="AA56" i="32" s="1"/>
  <c r="AA58" i="32" s="1"/>
  <c r="AB56" i="32" s="1"/>
  <c r="AB58" i="32" s="1"/>
  <c r="AC56" i="32" s="1"/>
  <c r="AC58" i="32" s="1"/>
  <c r="AD56" i="32" s="1"/>
  <c r="AD58" i="32" s="1"/>
  <c r="AE56" i="32" s="1"/>
  <c r="AE58" i="32" s="1"/>
  <c r="W80" i="32" s="1"/>
  <c r="G85" i="12"/>
  <c r="H83" i="12" s="1"/>
  <c r="H85" i="12" s="1"/>
  <c r="I83" i="12" s="1"/>
  <c r="I85" i="12" s="1"/>
  <c r="J83" i="12" s="1"/>
  <c r="J85" i="12" s="1"/>
  <c r="K83" i="12" s="1"/>
  <c r="K85" i="12" s="1"/>
  <c r="L83" i="12" s="1"/>
  <c r="L85" i="12" s="1"/>
  <c r="M83" i="12" s="1"/>
  <c r="M85" i="12" s="1"/>
  <c r="N83" i="12" s="1"/>
  <c r="N85" i="12" s="1"/>
  <c r="T175" i="24"/>
  <c r="T180" i="24" s="1"/>
  <c r="T182" i="24" s="1"/>
  <c r="AA170" i="24" s="1"/>
  <c r="AA264" i="24" s="1"/>
  <c r="T162" i="14"/>
  <c r="T170" i="14" s="1"/>
  <c r="T175" i="14" s="1"/>
  <c r="T177" i="14" s="1"/>
  <c r="AA165" i="14" s="1"/>
  <c r="AA161" i="14" s="1"/>
  <c r="AA172" i="14" s="1"/>
  <c r="G187" i="14"/>
  <c r="G241" i="14" s="1"/>
  <c r="K178" i="26"/>
  <c r="K182" i="6"/>
  <c r="L183" i="6" s="1"/>
  <c r="L247" i="6" s="1"/>
  <c r="L249" i="6" s="1"/>
  <c r="C195" i="14"/>
  <c r="P195" i="14" s="1"/>
  <c r="T254" i="14" s="1"/>
  <c r="AB159" i="26"/>
  <c r="I108" i="22"/>
  <c r="I109" i="22" s="1"/>
  <c r="I167" i="22" s="1"/>
  <c r="I176" i="22" s="1"/>
  <c r="Z155" i="22" s="1"/>
  <c r="Z157" i="22" s="1"/>
  <c r="P186" i="14"/>
  <c r="T251" i="14" s="1"/>
  <c r="J109" i="24"/>
  <c r="J110" i="24" s="1"/>
  <c r="J168" i="24" s="1"/>
  <c r="J177" i="24" s="1"/>
  <c r="E108" i="22"/>
  <c r="E109" i="22" s="1"/>
  <c r="E167" i="22" s="1"/>
  <c r="E176" i="22" s="1"/>
  <c r="V155" i="22" s="1"/>
  <c r="V157" i="22" s="1"/>
  <c r="K176" i="14"/>
  <c r="T270" i="26"/>
  <c r="T275" i="26" s="1"/>
  <c r="T277" i="26" s="1"/>
  <c r="AA265" i="26" s="1"/>
  <c r="Z58" i="14"/>
  <c r="AA56" i="14" s="1"/>
  <c r="AA58" i="14" s="1"/>
  <c r="AB56" i="14" s="1"/>
  <c r="AB58" i="14" s="1"/>
  <c r="AC56" i="14" s="1"/>
  <c r="AC58" i="14" s="1"/>
  <c r="AD56" i="14" s="1"/>
  <c r="AD58" i="14" s="1"/>
  <c r="AE56" i="14" s="1"/>
  <c r="AE58" i="14" s="1"/>
  <c r="T153" i="14" s="1"/>
  <c r="W60" i="33"/>
  <c r="X58" i="33" s="1"/>
  <c r="X60" i="33" s="1"/>
  <c r="Y58" i="33" s="1"/>
  <c r="Y60" i="33" s="1"/>
  <c r="Z58" i="33" s="1"/>
  <c r="Z60" i="33" s="1"/>
  <c r="AA58" i="33" s="1"/>
  <c r="AA60" i="33" s="1"/>
  <c r="AB58" i="33" s="1"/>
  <c r="AB60" i="33" s="1"/>
  <c r="AC58" i="33" s="1"/>
  <c r="AC60" i="33" s="1"/>
  <c r="AD58" i="33" s="1"/>
  <c r="AD60" i="33" s="1"/>
  <c r="AE58" i="33" s="1"/>
  <c r="AE60" i="33" s="1"/>
  <c r="M191" i="26"/>
  <c r="M256" i="26" s="1"/>
  <c r="M258" i="26" s="1"/>
  <c r="AD245" i="26" s="1"/>
  <c r="AD249" i="26" s="1"/>
  <c r="E181" i="6"/>
  <c r="L188" i="14"/>
  <c r="M189" i="14" s="1"/>
  <c r="M253" i="14" s="1"/>
  <c r="M255" i="14" s="1"/>
  <c r="AD236" i="14" s="1"/>
  <c r="AD240" i="14" s="1"/>
  <c r="AE159" i="26"/>
  <c r="K8" i="8"/>
  <c r="M109" i="24"/>
  <c r="M110" i="24" s="1"/>
  <c r="M168" i="24" s="1"/>
  <c r="M177" i="24" s="1"/>
  <c r="AD155" i="24" s="1"/>
  <c r="AD157" i="24" s="1"/>
  <c r="L195" i="14"/>
  <c r="L196" i="14" s="1"/>
  <c r="L242" i="14" s="1"/>
  <c r="L245" i="14" s="1"/>
  <c r="L246" i="14" s="1"/>
  <c r="M247" i="14" s="1"/>
  <c r="M264" i="14" s="1"/>
  <c r="I7" i="7"/>
  <c r="J8" i="7" s="1"/>
  <c r="J71" i="7" s="1"/>
  <c r="J73" i="7" s="1"/>
  <c r="F182" i="6"/>
  <c r="G183" i="6" s="1"/>
  <c r="G247" i="6" s="1"/>
  <c r="G249" i="6" s="1"/>
  <c r="E87" i="26"/>
  <c r="F85" i="26" s="1"/>
  <c r="F87" i="26" s="1"/>
  <c r="G85" i="26" s="1"/>
  <c r="G87" i="26" s="1"/>
  <c r="H85" i="26" s="1"/>
  <c r="H87" i="26" s="1"/>
  <c r="I85" i="26" s="1"/>
  <c r="I87" i="26" s="1"/>
  <c r="J85" i="26" s="1"/>
  <c r="J87" i="26" s="1"/>
  <c r="K85" i="26" s="1"/>
  <c r="K87" i="26" s="1"/>
  <c r="L85" i="26" s="1"/>
  <c r="L87" i="26" s="1"/>
  <c r="M85" i="26" s="1"/>
  <c r="M87" i="26" s="1"/>
  <c r="N85" i="26" s="1"/>
  <c r="N87" i="26" s="1"/>
  <c r="P87" i="26" s="1"/>
  <c r="AD154" i="14"/>
  <c r="H107" i="32"/>
  <c r="H108" i="32" s="1"/>
  <c r="H165" i="32" s="1"/>
  <c r="N109" i="24"/>
  <c r="N110" i="24" s="1"/>
  <c r="N168" i="24" s="1"/>
  <c r="N177" i="24" s="1"/>
  <c r="AE155" i="24" s="1"/>
  <c r="AE157" i="24" s="1"/>
  <c r="M108" i="22"/>
  <c r="M109" i="22" s="1"/>
  <c r="M167" i="22" s="1"/>
  <c r="M176" i="22" s="1"/>
  <c r="N109" i="33"/>
  <c r="N110" i="33" s="1"/>
  <c r="N168" i="33" s="1"/>
  <c r="N177" i="33" s="1"/>
  <c r="K108" i="22"/>
  <c r="K109" i="22" s="1"/>
  <c r="K167" i="22" s="1"/>
  <c r="K176" i="22" s="1"/>
  <c r="U254" i="26"/>
  <c r="Z60" i="26"/>
  <c r="AA58" i="26" s="1"/>
  <c r="AA60" i="26" s="1"/>
  <c r="AB58" i="26" s="1"/>
  <c r="AB60" i="26" s="1"/>
  <c r="AC58" i="26" s="1"/>
  <c r="AC60" i="26" s="1"/>
  <c r="AD58" i="26" s="1"/>
  <c r="AD60" i="26" s="1"/>
  <c r="AE58" i="26" s="1"/>
  <c r="AE60" i="26" s="1"/>
  <c r="W82" i="26" s="1"/>
  <c r="F101" i="24"/>
  <c r="F165" i="24" s="1"/>
  <c r="F167" i="24" s="1"/>
  <c r="W150" i="24" s="1"/>
  <c r="W154" i="24" s="1"/>
  <c r="G15" i="5"/>
  <c r="T36" i="6"/>
  <c r="C84" i="7"/>
  <c r="P85" i="6"/>
  <c r="C171" i="6" s="1"/>
  <c r="C173" i="6" s="1"/>
  <c r="D171" i="6" s="1"/>
  <c r="D173" i="6" s="1"/>
  <c r="E171" i="6" s="1"/>
  <c r="E173" i="6" s="1"/>
  <c r="F171" i="6" s="1"/>
  <c r="F173" i="6" s="1"/>
  <c r="G171" i="6" s="1"/>
  <c r="G173" i="6" s="1"/>
  <c r="H171" i="6" s="1"/>
  <c r="G15" i="16"/>
  <c r="P180" i="6"/>
  <c r="T179" i="6" s="1"/>
  <c r="T181" i="6" s="1"/>
  <c r="D177" i="24"/>
  <c r="U155" i="24" s="1"/>
  <c r="U157" i="24" s="1"/>
  <c r="G109" i="24"/>
  <c r="G110" i="24" s="1"/>
  <c r="G168" i="24" s="1"/>
  <c r="G177" i="24" s="1"/>
  <c r="F109" i="33"/>
  <c r="F110" i="33" s="1"/>
  <c r="F168" i="33" s="1"/>
  <c r="F177" i="33" s="1"/>
  <c r="E188" i="14"/>
  <c r="F189" i="14" s="1"/>
  <c r="F253" i="14" s="1"/>
  <c r="F255" i="14" s="1"/>
  <c r="W236" i="14" s="1"/>
  <c r="W240" i="14" s="1"/>
  <c r="AE254" i="26"/>
  <c r="N86" i="14"/>
  <c r="P86" i="14" s="1"/>
  <c r="L108" i="22"/>
  <c r="L109" i="22" s="1"/>
  <c r="L167" i="22" s="1"/>
  <c r="L176" i="22" s="1"/>
  <c r="J191" i="26"/>
  <c r="J256" i="26" s="1"/>
  <c r="J258" i="26" s="1"/>
  <c r="AA245" i="26" s="1"/>
  <c r="AA249" i="26" s="1"/>
  <c r="M176" i="14"/>
  <c r="L7" i="7"/>
  <c r="M8" i="7" s="1"/>
  <c r="M71" i="7" s="1"/>
  <c r="M73" i="7" s="1"/>
  <c r="T170" i="32"/>
  <c r="T175" i="32" s="1"/>
  <c r="T177" i="32" s="1"/>
  <c r="AA165" i="32" s="1"/>
  <c r="AA255" i="32" s="1"/>
  <c r="L191" i="26"/>
  <c r="L256" i="26" s="1"/>
  <c r="L258" i="26" s="1"/>
  <c r="L270" i="26" s="1"/>
  <c r="C270" i="26"/>
  <c r="Y154" i="14"/>
  <c r="G199" i="26"/>
  <c r="G200" i="26" s="1"/>
  <c r="G259" i="26" s="1"/>
  <c r="G268" i="26" s="1"/>
  <c r="X250" i="26" s="1"/>
  <c r="X252" i="26" s="1"/>
  <c r="T254" i="26"/>
  <c r="H176" i="14"/>
  <c r="G176" i="14"/>
  <c r="E88" i="24"/>
  <c r="F86" i="24" s="1"/>
  <c r="F88" i="24" s="1"/>
  <c r="G86" i="24" s="1"/>
  <c r="G88" i="24" s="1"/>
  <c r="H86" i="24" s="1"/>
  <c r="H88" i="24" s="1"/>
  <c r="I86" i="24" s="1"/>
  <c r="I88" i="24" s="1"/>
  <c r="J86" i="24" s="1"/>
  <c r="J88" i="24" s="1"/>
  <c r="K86" i="24" s="1"/>
  <c r="K88" i="24" s="1"/>
  <c r="L86" i="24" s="1"/>
  <c r="L88" i="24" s="1"/>
  <c r="M86" i="24" s="1"/>
  <c r="M88" i="24" s="1"/>
  <c r="N86" i="24" s="1"/>
  <c r="N88" i="24" s="1"/>
  <c r="P88" i="24" s="1"/>
  <c r="C107" i="32"/>
  <c r="C108" i="32" s="1"/>
  <c r="C165" i="32" s="1"/>
  <c r="C174" i="32" s="1"/>
  <c r="T150" i="32" s="1"/>
  <c r="T152" i="32" s="1"/>
  <c r="T154" i="32" s="1"/>
  <c r="V60" i="24"/>
  <c r="W58" i="24" s="1"/>
  <c r="W60" i="24" s="1"/>
  <c r="X58" i="24" s="1"/>
  <c r="X60" i="24" s="1"/>
  <c r="Y58" i="24" s="1"/>
  <c r="Y60" i="24" s="1"/>
  <c r="Z58" i="24" s="1"/>
  <c r="Z60" i="24" s="1"/>
  <c r="AA58" i="24" s="1"/>
  <c r="AA60" i="24" s="1"/>
  <c r="AB58" i="24" s="1"/>
  <c r="AB60" i="24" s="1"/>
  <c r="AC58" i="24" s="1"/>
  <c r="AC60" i="24" s="1"/>
  <c r="AD58" i="24" s="1"/>
  <c r="AD60" i="24" s="1"/>
  <c r="AE58" i="24" s="1"/>
  <c r="AE60" i="24" s="1"/>
  <c r="W82" i="24" s="1"/>
  <c r="N176" i="14"/>
  <c r="T175" i="33"/>
  <c r="T180" i="33" s="1"/>
  <c r="T182" i="33" s="1"/>
  <c r="AA170" i="33" s="1"/>
  <c r="AA264" i="33" s="1"/>
  <c r="H109" i="24"/>
  <c r="H110" i="24" s="1"/>
  <c r="H168" i="24" s="1"/>
  <c r="H177" i="24" s="1"/>
  <c r="Y155" i="24" s="1"/>
  <c r="Y157" i="24" s="1"/>
  <c r="Y159" i="24" s="1"/>
  <c r="AE154" i="14"/>
  <c r="I181" i="6"/>
  <c r="I235" i="6" s="1"/>
  <c r="G7" i="7"/>
  <c r="H8" i="7" s="1"/>
  <c r="H71" i="7" s="1"/>
  <c r="H73" i="7" s="1"/>
  <c r="L107" i="32"/>
  <c r="L108" i="32" s="1"/>
  <c r="L165" i="32" s="1"/>
  <c r="L174" i="32" s="1"/>
  <c r="AC150" i="32" s="1"/>
  <c r="AC152" i="32" s="1"/>
  <c r="G108" i="22"/>
  <c r="G109" i="22" s="1"/>
  <c r="G167" i="22" s="1"/>
  <c r="G176" i="22" s="1"/>
  <c r="G178" i="26"/>
  <c r="L20" i="13"/>
  <c r="M39" i="13" s="1"/>
  <c r="M41" i="13" s="1"/>
  <c r="M43" i="13" s="1"/>
  <c r="M44" i="13" s="1"/>
  <c r="M45" i="13" s="1"/>
  <c r="H108" i="22"/>
  <c r="H109" i="22" s="1"/>
  <c r="H167" i="22" s="1"/>
  <c r="C48" i="13"/>
  <c r="C47" i="13" s="1"/>
  <c r="C53" i="13" s="1"/>
  <c r="C55" i="13" s="1"/>
  <c r="D54" i="13" s="1"/>
  <c r="C30" i="13"/>
  <c r="C29" i="13" s="1"/>
  <c r="C35" i="13" s="1"/>
  <c r="C37" i="13" s="1"/>
  <c r="D36" i="13" s="1"/>
  <c r="C11" i="13"/>
  <c r="C10" i="13" s="1"/>
  <c r="C16" i="13" s="1"/>
  <c r="C18" i="13" s="1"/>
  <c r="D17" i="13" s="1"/>
  <c r="C247" i="32"/>
  <c r="C264" i="32" s="1"/>
  <c r="AA170" i="32"/>
  <c r="AA167" i="32" s="1"/>
  <c r="Y250" i="26"/>
  <c r="Y252" i="26" s="1"/>
  <c r="Y254" i="26" s="1"/>
  <c r="H270" i="26"/>
  <c r="C250" i="22"/>
  <c r="C267" i="22" s="1"/>
  <c r="AA175" i="22"/>
  <c r="AA172" i="22" s="1"/>
  <c r="AA175" i="24"/>
  <c r="AA172" i="24" s="1"/>
  <c r="C251" i="24"/>
  <c r="C268" i="24" s="1"/>
  <c r="K197" i="22"/>
  <c r="K189" i="22"/>
  <c r="K244" i="22" s="1"/>
  <c r="AE145" i="32"/>
  <c r="AE149" i="32" s="1"/>
  <c r="Z150" i="22"/>
  <c r="Z154" i="22" s="1"/>
  <c r="H190" i="33"/>
  <c r="H245" i="33" s="1"/>
  <c r="H191" i="33"/>
  <c r="I192" i="33" s="1"/>
  <c r="I257" i="33" s="1"/>
  <c r="I259" i="33" s="1"/>
  <c r="H198" i="33"/>
  <c r="X159" i="26"/>
  <c r="V150" i="22"/>
  <c r="V154" i="22" s="1"/>
  <c r="F189" i="22"/>
  <c r="F244" i="22" s="1"/>
  <c r="F197" i="22"/>
  <c r="F97" i="12"/>
  <c r="G98" i="12" s="1"/>
  <c r="G161" i="12" s="1"/>
  <c r="G163" i="12" s="1"/>
  <c r="E105" i="12"/>
  <c r="E150" i="12" s="1"/>
  <c r="E153" i="12" s="1"/>
  <c r="E154" i="12" s="1"/>
  <c r="F155" i="12" s="1"/>
  <c r="F172" i="12" s="1"/>
  <c r="M195" i="32"/>
  <c r="M187" i="32"/>
  <c r="M241" i="32" s="1"/>
  <c r="AA175" i="33"/>
  <c r="AA172" i="33" s="1"/>
  <c r="C251" i="33"/>
  <c r="C268" i="33" s="1"/>
  <c r="K7" i="7"/>
  <c r="L8" i="7" s="1"/>
  <c r="L71" i="7" s="1"/>
  <c r="L73" i="7" s="1"/>
  <c r="H196" i="14"/>
  <c r="H242" i="14" s="1"/>
  <c r="H245" i="14" s="1"/>
  <c r="H246" i="14" s="1"/>
  <c r="I247" i="14" s="1"/>
  <c r="I264" i="14" s="1"/>
  <c r="K15" i="7"/>
  <c r="K60" i="7" s="1"/>
  <c r="K63" i="7" s="1"/>
  <c r="K64" i="7" s="1"/>
  <c r="L65" i="7" s="1"/>
  <c r="L82" i="7" s="1"/>
  <c r="K109" i="24"/>
  <c r="K110" i="24" s="1"/>
  <c r="K168" i="24" s="1"/>
  <c r="K177" i="24" s="1"/>
  <c r="AB155" i="24" s="1"/>
  <c r="AB157" i="24" s="1"/>
  <c r="D107" i="32"/>
  <c r="D108" i="32" s="1"/>
  <c r="D165" i="32" s="1"/>
  <c r="D174" i="32" s="1"/>
  <c r="AA150" i="26"/>
  <c r="AA154" i="26" s="1"/>
  <c r="AA159" i="26" s="1"/>
  <c r="J178" i="26"/>
  <c r="G97" i="12"/>
  <c r="H98" i="12" s="1"/>
  <c r="H161" i="12" s="1"/>
  <c r="H163" i="12" s="1"/>
  <c r="W60" i="22"/>
  <c r="X58" i="22" s="1"/>
  <c r="X60" i="22" s="1"/>
  <c r="Y58" i="22" s="1"/>
  <c r="Y60" i="22" s="1"/>
  <c r="Z58" i="22" s="1"/>
  <c r="Z60" i="22" s="1"/>
  <c r="AA58" i="22" s="1"/>
  <c r="AA60" i="22" s="1"/>
  <c r="AB58" i="22" s="1"/>
  <c r="AB60" i="22" s="1"/>
  <c r="AC58" i="22" s="1"/>
  <c r="AC60" i="22" s="1"/>
  <c r="AD58" i="22" s="1"/>
  <c r="AD60" i="22" s="1"/>
  <c r="AE58" i="22" s="1"/>
  <c r="AE60" i="22" s="1"/>
  <c r="G107" i="32"/>
  <c r="G108" i="32" s="1"/>
  <c r="G165" i="32" s="1"/>
  <c r="G174" i="32" s="1"/>
  <c r="X150" i="32" s="1"/>
  <c r="X152" i="32" s="1"/>
  <c r="J105" i="12"/>
  <c r="J150" i="12" s="1"/>
  <c r="J153" i="12" s="1"/>
  <c r="K188" i="14"/>
  <c r="L189" i="14" s="1"/>
  <c r="L253" i="14" s="1"/>
  <c r="L255" i="14" s="1"/>
  <c r="J190" i="33"/>
  <c r="J245" i="33" s="1"/>
  <c r="J198" i="33"/>
  <c r="K105" i="12"/>
  <c r="K150" i="12" s="1"/>
  <c r="K153" i="12" s="1"/>
  <c r="K154" i="12" s="1"/>
  <c r="L155" i="12" s="1"/>
  <c r="L172" i="12" s="1"/>
  <c r="K106" i="12"/>
  <c r="K107" i="12" s="1"/>
  <c r="K164" i="12" s="1"/>
  <c r="P10" i="36"/>
  <c r="Q9" i="36"/>
  <c r="J7" i="7"/>
  <c r="K8" i="7" s="1"/>
  <c r="K71" i="7" s="1"/>
  <c r="K73" i="7" s="1"/>
  <c r="K196" i="14"/>
  <c r="K242" i="14" s="1"/>
  <c r="K245" i="14" s="1"/>
  <c r="AC150" i="24"/>
  <c r="AC154" i="24" s="1"/>
  <c r="E197" i="22"/>
  <c r="E189" i="22"/>
  <c r="E244" i="22" s="1"/>
  <c r="H7" i="7"/>
  <c r="I8" i="7" s="1"/>
  <c r="I71" i="7" s="1"/>
  <c r="I73" i="7" s="1"/>
  <c r="P189" i="33"/>
  <c r="T260" i="33" s="1"/>
  <c r="T262" i="33" s="1"/>
  <c r="C190" i="33"/>
  <c r="C245" i="33" s="1"/>
  <c r="C198" i="33"/>
  <c r="T150" i="24"/>
  <c r="T154" i="24" s="1"/>
  <c r="T159" i="24" s="1"/>
  <c r="J189" i="22"/>
  <c r="J244" i="22" s="1"/>
  <c r="J197" i="22"/>
  <c r="I187" i="32"/>
  <c r="I241" i="32" s="1"/>
  <c r="I195" i="32"/>
  <c r="H15" i="7"/>
  <c r="H60" i="7" s="1"/>
  <c r="H63" i="7" s="1"/>
  <c r="H64" i="7" s="1"/>
  <c r="I65" i="7" s="1"/>
  <c r="I82" i="7" s="1"/>
  <c r="H97" i="12"/>
  <c r="I98" i="12" s="1"/>
  <c r="I161" i="12" s="1"/>
  <c r="I163" i="12" s="1"/>
  <c r="L170" i="6"/>
  <c r="L172" i="6" s="1"/>
  <c r="M97" i="12"/>
  <c r="N98" i="12" s="1"/>
  <c r="N161" i="12" s="1"/>
  <c r="N163" i="12" s="1"/>
  <c r="F270" i="26"/>
  <c r="H176" i="22"/>
  <c r="V245" i="26"/>
  <c r="V249" i="26" s="1"/>
  <c r="V254" i="26" s="1"/>
  <c r="E270" i="26"/>
  <c r="K190" i="33"/>
  <c r="K245" i="33" s="1"/>
  <c r="K198" i="33"/>
  <c r="U150" i="24"/>
  <c r="U154" i="24" s="1"/>
  <c r="E5" i="9"/>
  <c r="G185" i="12"/>
  <c r="M185" i="12"/>
  <c r="J5" i="9"/>
  <c r="H185" i="12"/>
  <c r="D5" i="9"/>
  <c r="M5" i="9"/>
  <c r="D185" i="12"/>
  <c r="K5" i="9"/>
  <c r="L5" i="9"/>
  <c r="I185" i="12"/>
  <c r="F5" i="9"/>
  <c r="H5" i="9"/>
  <c r="C185" i="12"/>
  <c r="C5" i="9"/>
  <c r="F185" i="12"/>
  <c r="L185" i="12"/>
  <c r="C6" i="8"/>
  <c r="J185" i="12"/>
  <c r="N5" i="9"/>
  <c r="G5" i="9"/>
  <c r="N185" i="12"/>
  <c r="K185" i="12"/>
  <c r="E185" i="12"/>
  <c r="I5" i="9"/>
  <c r="G109" i="33"/>
  <c r="G110" i="33" s="1"/>
  <c r="G168" i="33" s="1"/>
  <c r="G177" i="33" s="1"/>
  <c r="X155" i="33" s="1"/>
  <c r="X157" i="33" s="1"/>
  <c r="J199" i="26"/>
  <c r="J200" i="26" s="1"/>
  <c r="J259" i="26" s="1"/>
  <c r="J268" i="26" s="1"/>
  <c r="AA250" i="26" s="1"/>
  <c r="AA252" i="26" s="1"/>
  <c r="AC154" i="14"/>
  <c r="T175" i="22"/>
  <c r="T180" i="22" s="1"/>
  <c r="T182" i="22" s="1"/>
  <c r="AA170" i="22" s="1"/>
  <c r="AA166" i="22" s="1"/>
  <c r="C31" i="36"/>
  <c r="C30" i="36" s="1"/>
  <c r="C36" i="36" s="1"/>
  <c r="C38" i="36" s="1"/>
  <c r="D37" i="36" s="1"/>
  <c r="C11" i="36"/>
  <c r="C10" i="36" s="1"/>
  <c r="C16" i="36" s="1"/>
  <c r="C18" i="36" s="1"/>
  <c r="D17" i="36" s="1"/>
  <c r="X150" i="33"/>
  <c r="X154" i="33" s="1"/>
  <c r="F15" i="7"/>
  <c r="F60" i="7" s="1"/>
  <c r="F63" i="7" s="1"/>
  <c r="F64" i="7" s="1"/>
  <c r="G65" i="7" s="1"/>
  <c r="G82" i="7" s="1"/>
  <c r="F16" i="7"/>
  <c r="F17" i="7" s="1"/>
  <c r="F74" i="7" s="1"/>
  <c r="D195" i="32"/>
  <c r="D187" i="32"/>
  <c r="D241" i="32" s="1"/>
  <c r="AA150" i="22"/>
  <c r="AA154" i="22" s="1"/>
  <c r="K177" i="33"/>
  <c r="C7" i="7"/>
  <c r="D8" i="7" s="1"/>
  <c r="D71" i="7" s="1"/>
  <c r="D73" i="7" s="1"/>
  <c r="D108" i="22"/>
  <c r="D109" i="22" s="1"/>
  <c r="D167" i="22" s="1"/>
  <c r="D176" i="22" s="1"/>
  <c r="H182" i="6"/>
  <c r="I183" i="6" s="1"/>
  <c r="I247" i="6" s="1"/>
  <c r="I249" i="6" s="1"/>
  <c r="L195" i="32"/>
  <c r="L187" i="32"/>
  <c r="L241" i="32" s="1"/>
  <c r="P104" i="12"/>
  <c r="T162" i="12" s="1"/>
  <c r="T168" i="12" s="1"/>
  <c r="T169" i="12" s="1"/>
  <c r="T174" i="12" s="1"/>
  <c r="T176" i="12" s="1"/>
  <c r="AA164" i="12" s="1"/>
  <c r="H105" i="12"/>
  <c r="H150" i="12" s="1"/>
  <c r="H153" i="12" s="1"/>
  <c r="H154" i="12" s="1"/>
  <c r="I155" i="12" s="1"/>
  <c r="I172" i="12" s="1"/>
  <c r="K107" i="32"/>
  <c r="K108" i="32" s="1"/>
  <c r="K165" i="32" s="1"/>
  <c r="K174" i="32" s="1"/>
  <c r="AB150" i="32" s="1"/>
  <c r="AB152" i="32" s="1"/>
  <c r="G196" i="14"/>
  <c r="G242" i="14" s="1"/>
  <c r="G245" i="14" s="1"/>
  <c r="G197" i="14"/>
  <c r="G198" i="14" s="1"/>
  <c r="G256" i="14" s="1"/>
  <c r="K268" i="26"/>
  <c r="AB250" i="26" s="1"/>
  <c r="AB252" i="26" s="1"/>
  <c r="W254" i="26"/>
  <c r="D270" i="26"/>
  <c r="C109" i="33"/>
  <c r="C110" i="33" s="1"/>
  <c r="C168" i="33" s="1"/>
  <c r="C177" i="33" s="1"/>
  <c r="I190" i="33"/>
  <c r="I245" i="33" s="1"/>
  <c r="I198" i="33"/>
  <c r="C15" i="7"/>
  <c r="C60" i="7" s="1"/>
  <c r="C63" i="7" s="1"/>
  <c r="C64" i="7" s="1"/>
  <c r="D65" i="7" s="1"/>
  <c r="D82" i="7" s="1"/>
  <c r="P14" i="7"/>
  <c r="C7" i="8" s="1"/>
  <c r="C13" i="8" s="1"/>
  <c r="C16" i="7"/>
  <c r="C17" i="7" s="1"/>
  <c r="C74" i="7" s="1"/>
  <c r="C83" i="7" s="1"/>
  <c r="C85" i="7" s="1"/>
  <c r="J109" i="33"/>
  <c r="J110" i="33" s="1"/>
  <c r="J168" i="33" s="1"/>
  <c r="J177" i="33" s="1"/>
  <c r="D197" i="22"/>
  <c r="D189" i="22"/>
  <c r="D244" i="22" s="1"/>
  <c r="W150" i="14"/>
  <c r="W152" i="14" s="1"/>
  <c r="W154" i="14" s="1"/>
  <c r="F176" i="14"/>
  <c r="C187" i="32"/>
  <c r="C241" i="32" s="1"/>
  <c r="C195" i="32"/>
  <c r="P186" i="32"/>
  <c r="T251" i="32" s="1"/>
  <c r="T253" i="32" s="1"/>
  <c r="E101" i="24"/>
  <c r="E165" i="24" s="1"/>
  <c r="E167" i="24" s="1"/>
  <c r="L109" i="24"/>
  <c r="L110" i="24" s="1"/>
  <c r="L168" i="24" s="1"/>
  <c r="L177" i="24" s="1"/>
  <c r="AC155" i="24" s="1"/>
  <c r="AC157" i="24" s="1"/>
  <c r="F190" i="33"/>
  <c r="F245" i="33" s="1"/>
  <c r="F198" i="33"/>
  <c r="H197" i="22"/>
  <c r="H189" i="22"/>
  <c r="H244" i="22" s="1"/>
  <c r="E190" i="33"/>
  <c r="E245" i="33" s="1"/>
  <c r="E198" i="33"/>
  <c r="J108" i="22"/>
  <c r="J109" i="22" s="1"/>
  <c r="J167" i="22" s="1"/>
  <c r="J176" i="22" s="1"/>
  <c r="AA155" i="22" s="1"/>
  <c r="AA157" i="22" s="1"/>
  <c r="F198" i="24"/>
  <c r="F190" i="24"/>
  <c r="F245" i="24" s="1"/>
  <c r="J190" i="24"/>
  <c r="J245" i="24" s="1"/>
  <c r="J198" i="24"/>
  <c r="I199" i="26"/>
  <c r="I200" i="26" s="1"/>
  <c r="I259" i="26" s="1"/>
  <c r="I268" i="26" s="1"/>
  <c r="N187" i="32"/>
  <c r="N241" i="32" s="1"/>
  <c r="N195" i="32"/>
  <c r="I176" i="14"/>
  <c r="AD150" i="26"/>
  <c r="AD154" i="26" s="1"/>
  <c r="AD159" i="26" s="1"/>
  <c r="M178" i="26"/>
  <c r="F105" i="12"/>
  <c r="F150" i="12" s="1"/>
  <c r="F153" i="12" s="1"/>
  <c r="F154" i="12" s="1"/>
  <c r="G155" i="12" s="1"/>
  <c r="G172" i="12" s="1"/>
  <c r="I178" i="26"/>
  <c r="L190" i="33"/>
  <c r="L245" i="33" s="1"/>
  <c r="L198" i="33"/>
  <c r="E177" i="24"/>
  <c r="V155" i="24" s="1"/>
  <c r="V157" i="24" s="1"/>
  <c r="M198" i="24"/>
  <c r="M190" i="24"/>
  <c r="M245" i="24" s="1"/>
  <c r="N197" i="22"/>
  <c r="N189" i="22"/>
  <c r="N244" i="22" s="1"/>
  <c r="L105" i="12"/>
  <c r="L150" i="12" s="1"/>
  <c r="L153" i="12" s="1"/>
  <c r="L154" i="12" s="1"/>
  <c r="M155" i="12" s="1"/>
  <c r="M172" i="12" s="1"/>
  <c r="N7" i="7"/>
  <c r="P8" i="7" s="1"/>
  <c r="G13" i="8" s="1"/>
  <c r="I13" i="8" s="1"/>
  <c r="N59" i="7"/>
  <c r="G190" i="33"/>
  <c r="G245" i="33" s="1"/>
  <c r="G198" i="33"/>
  <c r="G191" i="33"/>
  <c r="H192" i="33" s="1"/>
  <c r="H257" i="33" s="1"/>
  <c r="H259" i="33" s="1"/>
  <c r="X145" i="32"/>
  <c r="X149" i="32" s="1"/>
  <c r="N15" i="7"/>
  <c r="N60" i="7" s="1"/>
  <c r="N63" i="7" s="1"/>
  <c r="K187" i="32"/>
  <c r="K241" i="32" s="1"/>
  <c r="K188" i="32"/>
  <c r="L189" i="32" s="1"/>
  <c r="L253" i="32" s="1"/>
  <c r="L255" i="32" s="1"/>
  <c r="K195" i="32"/>
  <c r="AB150" i="24"/>
  <c r="AB154" i="24" s="1"/>
  <c r="H198" i="24"/>
  <c r="H190" i="24"/>
  <c r="H245" i="24" s="1"/>
  <c r="I189" i="22"/>
  <c r="I244" i="22" s="1"/>
  <c r="I197" i="22"/>
  <c r="V150" i="33"/>
  <c r="V154" i="33" s="1"/>
  <c r="I15" i="7"/>
  <c r="I60" i="7" s="1"/>
  <c r="I63" i="7" s="1"/>
  <c r="I64" i="7" s="1"/>
  <c r="J65" i="7" s="1"/>
  <c r="J82" i="7" s="1"/>
  <c r="I16" i="7"/>
  <c r="I17" i="7" s="1"/>
  <c r="I74" i="7" s="1"/>
  <c r="M196" i="14"/>
  <c r="M242" i="14" s="1"/>
  <c r="M245" i="14" s="1"/>
  <c r="D198" i="33"/>
  <c r="D190" i="33"/>
  <c r="D245" i="33" s="1"/>
  <c r="P188" i="22"/>
  <c r="T260" i="22" s="1"/>
  <c r="T262" i="22" s="1"/>
  <c r="C197" i="22"/>
  <c r="C189" i="22"/>
  <c r="C244" i="22" s="1"/>
  <c r="L97" i="12"/>
  <c r="M98" i="12" s="1"/>
  <c r="M161" i="12" s="1"/>
  <c r="M163" i="12" s="1"/>
  <c r="G195" i="32"/>
  <c r="G187" i="32"/>
  <c r="G241" i="32" s="1"/>
  <c r="G188" i="32"/>
  <c r="H189" i="32" s="1"/>
  <c r="H253" i="32" s="1"/>
  <c r="H255" i="32" s="1"/>
  <c r="Z154" i="14"/>
  <c r="Z159" i="26"/>
  <c r="D97" i="12"/>
  <c r="E98" i="12" s="1"/>
  <c r="E161" i="12" s="1"/>
  <c r="E163" i="12" s="1"/>
  <c r="E97" i="12"/>
  <c r="F98" i="12" s="1"/>
  <c r="F161" i="12" s="1"/>
  <c r="F163" i="12" s="1"/>
  <c r="E107" i="32"/>
  <c r="E108" i="32" s="1"/>
  <c r="E165" i="32" s="1"/>
  <c r="E174" i="32" s="1"/>
  <c r="V150" i="32" s="1"/>
  <c r="V152" i="32" s="1"/>
  <c r="AB145" i="32"/>
  <c r="AB149" i="32" s="1"/>
  <c r="L198" i="24"/>
  <c r="L190" i="24"/>
  <c r="L245" i="24" s="1"/>
  <c r="AB9" i="12"/>
  <c r="AB14" i="12" s="1"/>
  <c r="M197" i="22"/>
  <c r="M189" i="22"/>
  <c r="M244" i="22" s="1"/>
  <c r="D109" i="33"/>
  <c r="D110" i="33" s="1"/>
  <c r="D168" i="33" s="1"/>
  <c r="D177" i="33" s="1"/>
  <c r="D181" i="6"/>
  <c r="F195" i="32"/>
  <c r="F187" i="32"/>
  <c r="F241" i="32" s="1"/>
  <c r="D7" i="7"/>
  <c r="E8" i="7" s="1"/>
  <c r="E71" i="7" s="1"/>
  <c r="E73" i="7" s="1"/>
  <c r="M15" i="7"/>
  <c r="M60" i="7" s="1"/>
  <c r="M63" i="7" s="1"/>
  <c r="M64" i="7" s="1"/>
  <c r="N65" i="7" s="1"/>
  <c r="N82" i="7" s="1"/>
  <c r="N105" i="12"/>
  <c r="N150" i="12" s="1"/>
  <c r="N153" i="12" s="1"/>
  <c r="N154" i="12" s="1"/>
  <c r="P155" i="12" s="1"/>
  <c r="AA169" i="12" s="1"/>
  <c r="AA166" i="12" s="1"/>
  <c r="T253" i="14"/>
  <c r="P9" i="13"/>
  <c r="Z145" i="32"/>
  <c r="Z149" i="32" s="1"/>
  <c r="Z154" i="32" s="1"/>
  <c r="I176" i="32"/>
  <c r="D196" i="14"/>
  <c r="D242" i="14" s="1"/>
  <c r="D245" i="14" s="1"/>
  <c r="D246" i="14" s="1"/>
  <c r="E247" i="14" s="1"/>
  <c r="E264" i="14" s="1"/>
  <c r="M199" i="26"/>
  <c r="M200" i="26" s="1"/>
  <c r="M259" i="26" s="1"/>
  <c r="M268" i="26" s="1"/>
  <c r="AD250" i="26" s="1"/>
  <c r="AD252" i="26" s="1"/>
  <c r="D105" i="12"/>
  <c r="D150" i="12" s="1"/>
  <c r="D153" i="12" s="1"/>
  <c r="D154" i="12" s="1"/>
  <c r="E155" i="12" s="1"/>
  <c r="E172" i="12" s="1"/>
  <c r="J174" i="32"/>
  <c r="N108" i="22"/>
  <c r="N109" i="22" s="1"/>
  <c r="N167" i="22" s="1"/>
  <c r="N176" i="22" s="1"/>
  <c r="J188" i="14"/>
  <c r="K189" i="14" s="1"/>
  <c r="K253" i="14" s="1"/>
  <c r="K255" i="14" s="1"/>
  <c r="K198" i="24"/>
  <c r="K190" i="24"/>
  <c r="K245" i="24" s="1"/>
  <c r="J103" i="6"/>
  <c r="J104" i="6" s="1"/>
  <c r="J161" i="6" s="1"/>
  <c r="J170" i="6" s="1"/>
  <c r="J172" i="6" s="1"/>
  <c r="L189" i="22"/>
  <c r="L244" i="22" s="1"/>
  <c r="L197" i="22"/>
  <c r="J195" i="32"/>
  <c r="J187" i="32"/>
  <c r="J241" i="32" s="1"/>
  <c r="AB245" i="26"/>
  <c r="AB249" i="26" s="1"/>
  <c r="D15" i="7"/>
  <c r="D60" i="7" s="1"/>
  <c r="D63" i="7" s="1"/>
  <c r="D64" i="7" s="1"/>
  <c r="E65" i="7" s="1"/>
  <c r="E82" i="7" s="1"/>
  <c r="M7" i="7"/>
  <c r="N8" i="7" s="1"/>
  <c r="N71" i="7" s="1"/>
  <c r="N73" i="7" s="1"/>
  <c r="D188" i="14"/>
  <c r="E189" i="14" s="1"/>
  <c r="E253" i="14" s="1"/>
  <c r="E255" i="14" s="1"/>
  <c r="I109" i="24"/>
  <c r="I110" i="24" s="1"/>
  <c r="I168" i="24" s="1"/>
  <c r="I177" i="24" s="1"/>
  <c r="Z155" i="24" s="1"/>
  <c r="Z157" i="24" s="1"/>
  <c r="I109" i="33"/>
  <c r="I110" i="33" s="1"/>
  <c r="I168" i="33" s="1"/>
  <c r="I177" i="33" s="1"/>
  <c r="C105" i="12"/>
  <c r="C150" i="12" s="1"/>
  <c r="C153" i="12" s="1"/>
  <c r="C154" i="12" s="1"/>
  <c r="D155" i="12" s="1"/>
  <c r="D172" i="12" s="1"/>
  <c r="V9" i="12"/>
  <c r="V14" i="12" s="1"/>
  <c r="V15" i="12" s="1"/>
  <c r="W13" i="12" s="1"/>
  <c r="W15" i="12" s="1"/>
  <c r="X13" i="12" s="1"/>
  <c r="X15" i="12" s="1"/>
  <c r="Y13" i="12" s="1"/>
  <c r="Y15" i="12" s="1"/>
  <c r="Z13" i="12" s="1"/>
  <c r="Z15" i="12" s="1"/>
  <c r="AA13" i="12" s="1"/>
  <c r="AA15" i="12" s="1"/>
  <c r="AB13" i="12" s="1"/>
  <c r="J196" i="14"/>
  <c r="J242" i="14" s="1"/>
  <c r="J245" i="14" s="1"/>
  <c r="J246" i="14" s="1"/>
  <c r="K247" i="14" s="1"/>
  <c r="K264" i="14" s="1"/>
  <c r="E190" i="24"/>
  <c r="E245" i="24" s="1"/>
  <c r="E198" i="24"/>
  <c r="G197" i="22"/>
  <c r="G189" i="22"/>
  <c r="G244" i="22" s="1"/>
  <c r="G190" i="22"/>
  <c r="H191" i="22" s="1"/>
  <c r="H256" i="22" s="1"/>
  <c r="H258" i="22" s="1"/>
  <c r="E196" i="14"/>
  <c r="E242" i="14" s="1"/>
  <c r="E245" i="14" s="1"/>
  <c r="E246" i="14" s="1"/>
  <c r="F247" i="14" s="1"/>
  <c r="F264" i="14" s="1"/>
  <c r="C198" i="24"/>
  <c r="P189" i="24"/>
  <c r="T260" i="24" s="1"/>
  <c r="T262" i="24" s="1"/>
  <c r="C190" i="24"/>
  <c r="C245" i="24" s="1"/>
  <c r="E15" i="7"/>
  <c r="E60" i="7" s="1"/>
  <c r="E63" i="7" s="1"/>
  <c r="E64" i="7" s="1"/>
  <c r="F65" i="7" s="1"/>
  <c r="F82" i="7" s="1"/>
  <c r="F109" i="24"/>
  <c r="F110" i="24" s="1"/>
  <c r="F168" i="24" s="1"/>
  <c r="F177" i="24" s="1"/>
  <c r="W155" i="24" s="1"/>
  <c r="W157" i="24" s="1"/>
  <c r="D176" i="14"/>
  <c r="N190" i="24"/>
  <c r="N245" i="24" s="1"/>
  <c r="N198" i="24"/>
  <c r="J15" i="7"/>
  <c r="J60" i="7" s="1"/>
  <c r="J63" i="7" s="1"/>
  <c r="J64" i="7" s="1"/>
  <c r="K65" i="7" s="1"/>
  <c r="K82" i="7" s="1"/>
  <c r="AC145" i="32"/>
  <c r="AC149" i="32" s="1"/>
  <c r="H177" i="33"/>
  <c r="G198" i="24"/>
  <c r="G190" i="24"/>
  <c r="G245" i="24" s="1"/>
  <c r="H195" i="32"/>
  <c r="H187" i="32"/>
  <c r="H241" i="32" s="1"/>
  <c r="I105" i="12"/>
  <c r="I150" i="12" s="1"/>
  <c r="I153" i="12" s="1"/>
  <c r="I154" i="12" s="1"/>
  <c r="J155" i="12" s="1"/>
  <c r="J172" i="12" s="1"/>
  <c r="L109" i="33"/>
  <c r="L110" i="33" s="1"/>
  <c r="L168" i="33" s="1"/>
  <c r="L177" i="33" s="1"/>
  <c r="M174" i="32"/>
  <c r="E195" i="32"/>
  <c r="E187" i="32"/>
  <c r="E241" i="32" s="1"/>
  <c r="M177" i="33"/>
  <c r="E109" i="33"/>
  <c r="E110" i="33" s="1"/>
  <c r="E168" i="33" s="1"/>
  <c r="E177" i="33" s="1"/>
  <c r="V155" i="33" s="1"/>
  <c r="V157" i="33" s="1"/>
  <c r="H188" i="14"/>
  <c r="I189" i="14" s="1"/>
  <c r="I253" i="14" s="1"/>
  <c r="I255" i="14" s="1"/>
  <c r="Z150" i="24"/>
  <c r="Z154" i="24" s="1"/>
  <c r="X245" i="26"/>
  <c r="X249" i="26" s="1"/>
  <c r="X254" i="26" s="1"/>
  <c r="N196" i="14"/>
  <c r="N242" i="14" s="1"/>
  <c r="N245" i="14" s="1"/>
  <c r="N246" i="14" s="1"/>
  <c r="P247" i="14" s="1"/>
  <c r="AA261" i="14" s="1"/>
  <c r="AA258" i="14" s="1"/>
  <c r="M198" i="33"/>
  <c r="M190" i="33"/>
  <c r="M245" i="33" s="1"/>
  <c r="C97" i="12"/>
  <c r="D98" i="12" s="1"/>
  <c r="D161" i="12" s="1"/>
  <c r="D163" i="12" s="1"/>
  <c r="I198" i="24"/>
  <c r="I190" i="24"/>
  <c r="I245" i="24" s="1"/>
  <c r="L15" i="7"/>
  <c r="L60" i="7" s="1"/>
  <c r="L63" i="7" s="1"/>
  <c r="L64" i="7" s="1"/>
  <c r="M65" i="7" s="1"/>
  <c r="M82" i="7" s="1"/>
  <c r="K97" i="12"/>
  <c r="L98" i="12" s="1"/>
  <c r="L161" i="12" s="1"/>
  <c r="L163" i="12" s="1"/>
  <c r="W150" i="33"/>
  <c r="W154" i="33" s="1"/>
  <c r="N174" i="32"/>
  <c r="AE150" i="32" s="1"/>
  <c r="AE152" i="32" s="1"/>
  <c r="G15" i="7"/>
  <c r="G60" i="7" s="1"/>
  <c r="G63" i="7" s="1"/>
  <c r="G64" i="7" s="1"/>
  <c r="H65" i="7" s="1"/>
  <c r="H82" i="7" s="1"/>
  <c r="G16" i="7"/>
  <c r="G17" i="7" s="1"/>
  <c r="G74" i="7" s="1"/>
  <c r="M105" i="12"/>
  <c r="M150" i="12" s="1"/>
  <c r="M153" i="12" s="1"/>
  <c r="M154" i="12" s="1"/>
  <c r="N155" i="12" s="1"/>
  <c r="N172" i="12" s="1"/>
  <c r="M106" i="12"/>
  <c r="M107" i="12" s="1"/>
  <c r="M164" i="12" s="1"/>
  <c r="I196" i="14"/>
  <c r="I242" i="14" s="1"/>
  <c r="I245" i="14" s="1"/>
  <c r="I246" i="14" s="1"/>
  <c r="J247" i="14" s="1"/>
  <c r="J264" i="14" s="1"/>
  <c r="I197" i="14"/>
  <c r="I198" i="14" s="1"/>
  <c r="I256" i="14" s="1"/>
  <c r="I97" i="12"/>
  <c r="J98" i="12" s="1"/>
  <c r="J161" i="12" s="1"/>
  <c r="J163" i="12" s="1"/>
  <c r="AC150" i="26"/>
  <c r="AC154" i="26" s="1"/>
  <c r="AC159" i="26" s="1"/>
  <c r="L178" i="26"/>
  <c r="W150" i="22"/>
  <c r="W154" i="22" s="1"/>
  <c r="L182" i="6"/>
  <c r="M183" i="6" s="1"/>
  <c r="M247" i="6" s="1"/>
  <c r="M249" i="6" s="1"/>
  <c r="V150" i="14"/>
  <c r="V152" i="14" s="1"/>
  <c r="V154" i="14" s="1"/>
  <c r="E176" i="14"/>
  <c r="G105" i="12"/>
  <c r="G150" i="12" s="1"/>
  <c r="G153" i="12" s="1"/>
  <c r="G154" i="12" s="1"/>
  <c r="H155" i="12" s="1"/>
  <c r="H172" i="12" s="1"/>
  <c r="G106" i="12"/>
  <c r="G107" i="12" s="1"/>
  <c r="G164" i="12" s="1"/>
  <c r="J97" i="12"/>
  <c r="K98" i="12" s="1"/>
  <c r="K161" i="12" s="1"/>
  <c r="K163" i="12" s="1"/>
  <c r="J149" i="12"/>
  <c r="V145" i="32"/>
  <c r="V149" i="32" s="1"/>
  <c r="H174" i="32"/>
  <c r="N188" i="14"/>
  <c r="P189" i="14" s="1"/>
  <c r="W260" i="14" s="1"/>
  <c r="N190" i="33"/>
  <c r="N245" i="33" s="1"/>
  <c r="N198" i="33"/>
  <c r="C108" i="22"/>
  <c r="C109" i="22" s="1"/>
  <c r="C167" i="22" s="1"/>
  <c r="C176" i="22" s="1"/>
  <c r="W145" i="32"/>
  <c r="W149" i="32" s="1"/>
  <c r="V56" i="12"/>
  <c r="V57" i="12" s="1"/>
  <c r="W55" i="12" s="1"/>
  <c r="W57" i="12" s="1"/>
  <c r="X55" i="12" s="1"/>
  <c r="X57" i="12" s="1"/>
  <c r="Y55" i="12" s="1"/>
  <c r="Y57" i="12" s="1"/>
  <c r="Z55" i="12" s="1"/>
  <c r="Z57" i="12" s="1"/>
  <c r="AA55" i="12" s="1"/>
  <c r="AA57" i="12" s="1"/>
  <c r="AB55" i="12" s="1"/>
  <c r="AB57" i="12" s="1"/>
  <c r="AC55" i="12" s="1"/>
  <c r="AC57" i="12" s="1"/>
  <c r="AD55" i="12" s="1"/>
  <c r="AD57" i="12" s="1"/>
  <c r="AE55" i="12" s="1"/>
  <c r="AE57" i="12" s="1"/>
  <c r="T152" i="12" s="1"/>
  <c r="D190" i="24"/>
  <c r="D245" i="24" s="1"/>
  <c r="D198" i="24"/>
  <c r="F108" i="22"/>
  <c r="F109" i="22" s="1"/>
  <c r="F167" i="22" s="1"/>
  <c r="F176" i="22" s="1"/>
  <c r="W155" i="22" s="1"/>
  <c r="W157" i="22" s="1"/>
  <c r="D190" i="6"/>
  <c r="D236" i="6" s="1"/>
  <c r="D239" i="6" s="1"/>
  <c r="E190" i="6"/>
  <c r="E236" i="6" s="1"/>
  <c r="E239" i="6" s="1"/>
  <c r="F190" i="6"/>
  <c r="F236" i="6" s="1"/>
  <c r="F239" i="6" s="1"/>
  <c r="F240" i="6" s="1"/>
  <c r="G241" i="6" s="1"/>
  <c r="G258" i="6" s="1"/>
  <c r="G190" i="6"/>
  <c r="G236" i="6" s="1"/>
  <c r="G239" i="6" s="1"/>
  <c r="G240" i="6" s="1"/>
  <c r="H241" i="6" s="1"/>
  <c r="H258" i="6" s="1"/>
  <c r="H190" i="6"/>
  <c r="H236" i="6" s="1"/>
  <c r="H239" i="6" s="1"/>
  <c r="H191" i="6"/>
  <c r="H192" i="6" s="1"/>
  <c r="H250" i="6" s="1"/>
  <c r="I190" i="6"/>
  <c r="I236" i="6" s="1"/>
  <c r="I239" i="6" s="1"/>
  <c r="I191" i="6"/>
  <c r="I192" i="6" s="1"/>
  <c r="I250" i="6" s="1"/>
  <c r="J190" i="6"/>
  <c r="J236" i="6" s="1"/>
  <c r="J239" i="6" s="1"/>
  <c r="J240" i="6" s="1"/>
  <c r="K241" i="6" s="1"/>
  <c r="K258" i="6" s="1"/>
  <c r="K190" i="6"/>
  <c r="K236" i="6" s="1"/>
  <c r="K239" i="6" s="1"/>
  <c r="K240" i="6" s="1"/>
  <c r="L241" i="6" s="1"/>
  <c r="L258" i="6" s="1"/>
  <c r="M190" i="6"/>
  <c r="M236" i="6" s="1"/>
  <c r="M239" i="6" s="1"/>
  <c r="M191" i="6"/>
  <c r="M192" i="6" s="1"/>
  <c r="M250" i="6" s="1"/>
  <c r="M240" i="6"/>
  <c r="N241" i="6" s="1"/>
  <c r="N258" i="6" s="1"/>
  <c r="N190" i="6"/>
  <c r="N236" i="6" s="1"/>
  <c r="N239" i="6" s="1"/>
  <c r="C190" i="6"/>
  <c r="C236" i="6" s="1"/>
  <c r="C239" i="6" s="1"/>
  <c r="C240" i="6" s="1"/>
  <c r="D241" i="6" s="1"/>
  <c r="D258" i="6" s="1"/>
  <c r="H184" i="41" l="1"/>
  <c r="I185" i="41" s="1"/>
  <c r="I249" i="41" s="1"/>
  <c r="I251" i="41" s="1"/>
  <c r="F277" i="41"/>
  <c r="G278" i="41" s="1"/>
  <c r="G342" i="41" s="1"/>
  <c r="G344" i="41" s="1"/>
  <c r="C184" i="41"/>
  <c r="D185" i="41" s="1"/>
  <c r="D249" i="41" s="1"/>
  <c r="D251" i="41" s="1"/>
  <c r="J277" i="41"/>
  <c r="K278" i="41" s="1"/>
  <c r="K342" i="41" s="1"/>
  <c r="K344" i="41" s="1"/>
  <c r="G277" i="41"/>
  <c r="H278" i="41" s="1"/>
  <c r="H342" i="41" s="1"/>
  <c r="H344" i="41" s="1"/>
  <c r="H371" i="41"/>
  <c r="I372" i="41" s="1"/>
  <c r="I436" i="41" s="1"/>
  <c r="I438" i="41" s="1"/>
  <c r="D277" i="41"/>
  <c r="E278" i="41" s="1"/>
  <c r="E342" i="41" s="1"/>
  <c r="E344" i="41" s="1"/>
  <c r="D371" i="41"/>
  <c r="E372" i="41" s="1"/>
  <c r="E436" i="41" s="1"/>
  <c r="E438" i="41" s="1"/>
  <c r="J184" i="41"/>
  <c r="K185" i="41" s="1"/>
  <c r="K249" i="41" s="1"/>
  <c r="K251" i="41" s="1"/>
  <c r="F184" i="41"/>
  <c r="G185" i="41" s="1"/>
  <c r="G249" i="41" s="1"/>
  <c r="G251" i="41" s="1"/>
  <c r="J371" i="41"/>
  <c r="K372" i="41" s="1"/>
  <c r="K436" i="41" s="1"/>
  <c r="K438" i="41" s="1"/>
  <c r="G371" i="41"/>
  <c r="H372" i="41" s="1"/>
  <c r="H436" i="41" s="1"/>
  <c r="H438" i="41" s="1"/>
  <c r="T181" i="41"/>
  <c r="T183" i="41" s="1"/>
  <c r="C277" i="41"/>
  <c r="D278" i="41" s="1"/>
  <c r="D342" i="41" s="1"/>
  <c r="D344" i="41" s="1"/>
  <c r="C173" i="41"/>
  <c r="D171" i="41" s="1"/>
  <c r="D173" i="41" s="1"/>
  <c r="E171" i="41" s="1"/>
  <c r="E173" i="41" s="1"/>
  <c r="F171" i="41" s="1"/>
  <c r="F173" i="41" s="1"/>
  <c r="G171" i="41" s="1"/>
  <c r="G173" i="41" s="1"/>
  <c r="H171" i="41" s="1"/>
  <c r="H173" i="41" s="1"/>
  <c r="I171" i="41" s="1"/>
  <c r="I173" i="41" s="1"/>
  <c r="J171" i="41" s="1"/>
  <c r="J173" i="41" s="1"/>
  <c r="K171" i="41" s="1"/>
  <c r="K173" i="41" s="1"/>
  <c r="L171" i="41" s="1"/>
  <c r="L173" i="41" s="1"/>
  <c r="M171" i="41" s="1"/>
  <c r="M173" i="41" s="1"/>
  <c r="N171" i="41" s="1"/>
  <c r="N173" i="41" s="1"/>
  <c r="P173" i="41" s="1"/>
  <c r="T123" i="41" s="1"/>
  <c r="G184" i="41"/>
  <c r="H185" i="41" s="1"/>
  <c r="H249" i="41" s="1"/>
  <c r="H251" i="41" s="1"/>
  <c r="I277" i="41"/>
  <c r="J278" i="41" s="1"/>
  <c r="J342" i="41" s="1"/>
  <c r="J344" i="41" s="1"/>
  <c r="X208" i="41"/>
  <c r="C371" i="41"/>
  <c r="D372" i="41" s="1"/>
  <c r="D436" i="41" s="1"/>
  <c r="D438" i="41" s="1"/>
  <c r="M277" i="41"/>
  <c r="N278" i="41" s="1"/>
  <c r="N342" i="41" s="1"/>
  <c r="N344" i="41" s="1"/>
  <c r="L277" i="41"/>
  <c r="M278" i="41" s="1"/>
  <c r="M342" i="41" s="1"/>
  <c r="M344" i="41" s="1"/>
  <c r="C285" i="41"/>
  <c r="C331" i="41" s="1"/>
  <c r="C334" i="41" s="1"/>
  <c r="C335" i="41" s="1"/>
  <c r="D336" i="41" s="1"/>
  <c r="D353" i="41" s="1"/>
  <c r="P284" i="41"/>
  <c r="T277" i="41" s="1"/>
  <c r="T283" i="41" s="1"/>
  <c r="T284" i="41" s="1"/>
  <c r="T289" i="41" s="1"/>
  <c r="T291" i="41" s="1"/>
  <c r="X301" i="41" s="1"/>
  <c r="X297" i="41" s="1"/>
  <c r="X308" i="41" s="1"/>
  <c r="C286" i="41"/>
  <c r="C287" i="41" s="1"/>
  <c r="C345" i="41" s="1"/>
  <c r="C354" i="41" s="1"/>
  <c r="C356" i="41" s="1"/>
  <c r="C357" i="41" s="1"/>
  <c r="D355" i="41" s="1"/>
  <c r="L285" i="41"/>
  <c r="L331" i="41" s="1"/>
  <c r="L334" i="41" s="1"/>
  <c r="L335" i="41" s="1"/>
  <c r="M336" i="41" s="1"/>
  <c r="M353" i="41" s="1"/>
  <c r="D379" i="41"/>
  <c r="D425" i="41" s="1"/>
  <c r="D428" i="41" s="1"/>
  <c r="D429" i="41" s="1"/>
  <c r="E430" i="41" s="1"/>
  <c r="E447" i="41" s="1"/>
  <c r="H379" i="41"/>
  <c r="H425" i="41" s="1"/>
  <c r="H428" i="41" s="1"/>
  <c r="H429" i="41" s="1"/>
  <c r="I430" i="41" s="1"/>
  <c r="I447" i="41" s="1"/>
  <c r="K379" i="41"/>
  <c r="K425" i="41" s="1"/>
  <c r="K428" i="41" s="1"/>
  <c r="K429" i="41" s="1"/>
  <c r="L430" i="41" s="1"/>
  <c r="L447" i="41" s="1"/>
  <c r="K184" i="41"/>
  <c r="L185" i="41" s="1"/>
  <c r="L249" i="41" s="1"/>
  <c r="L251" i="41" s="1"/>
  <c r="G379" i="41"/>
  <c r="G425" i="41" s="1"/>
  <c r="G428" i="41" s="1"/>
  <c r="G429" i="41" s="1"/>
  <c r="H430" i="41" s="1"/>
  <c r="H447" i="41" s="1"/>
  <c r="H277" i="41"/>
  <c r="I278" i="41" s="1"/>
  <c r="I342" i="41" s="1"/>
  <c r="I344" i="41" s="1"/>
  <c r="H285" i="41"/>
  <c r="H331" i="41" s="1"/>
  <c r="H334" i="41" s="1"/>
  <c r="H335" i="41" s="1"/>
  <c r="I336" i="41" s="1"/>
  <c r="I353" i="41" s="1"/>
  <c r="K371" i="41"/>
  <c r="L372" i="41" s="1"/>
  <c r="L436" i="41" s="1"/>
  <c r="L438" i="41" s="1"/>
  <c r="N379" i="41"/>
  <c r="N425" i="41" s="1"/>
  <c r="N428" i="41" s="1"/>
  <c r="N429" i="41" s="1"/>
  <c r="P430" i="41" s="1"/>
  <c r="N285" i="41"/>
  <c r="N331" i="41" s="1"/>
  <c r="N334" i="41" s="1"/>
  <c r="N335" i="41" s="1"/>
  <c r="P336" i="41" s="1"/>
  <c r="M379" i="41"/>
  <c r="M425" i="41" s="1"/>
  <c r="M428" i="41" s="1"/>
  <c r="M429" i="41" s="1"/>
  <c r="N430" i="41" s="1"/>
  <c r="N447" i="41" s="1"/>
  <c r="M380" i="41"/>
  <c r="M381" i="41" s="1"/>
  <c r="M439" i="41" s="1"/>
  <c r="N277" i="41"/>
  <c r="P278" i="41" s="1"/>
  <c r="T305" i="41" s="1"/>
  <c r="F371" i="41"/>
  <c r="G372" i="41" s="1"/>
  <c r="G436" i="41" s="1"/>
  <c r="G438" i="41" s="1"/>
  <c r="M371" i="41"/>
  <c r="N372" i="41" s="1"/>
  <c r="N436" i="41" s="1"/>
  <c r="N438" i="41" s="1"/>
  <c r="E285" i="41"/>
  <c r="E331" i="41" s="1"/>
  <c r="E334" i="41" s="1"/>
  <c r="E335" i="41" s="1"/>
  <c r="F336" i="41" s="1"/>
  <c r="F353" i="41" s="1"/>
  <c r="K285" i="41"/>
  <c r="K331" i="41" s="1"/>
  <c r="K334" i="41" s="1"/>
  <c r="K335" i="41" s="1"/>
  <c r="L336" i="41" s="1"/>
  <c r="L353" i="41" s="1"/>
  <c r="K286" i="41"/>
  <c r="K287" i="41" s="1"/>
  <c r="K345" i="41" s="1"/>
  <c r="F379" i="41"/>
  <c r="F425" i="41" s="1"/>
  <c r="F428" i="41" s="1"/>
  <c r="F429" i="41" s="1"/>
  <c r="G430" i="41" s="1"/>
  <c r="G447" i="41" s="1"/>
  <c r="C379" i="41"/>
  <c r="C425" i="41" s="1"/>
  <c r="C428" i="41" s="1"/>
  <c r="C429" i="41" s="1"/>
  <c r="D430" i="41" s="1"/>
  <c r="D447" i="41" s="1"/>
  <c r="P378" i="41"/>
  <c r="T371" i="41" s="1"/>
  <c r="T377" i="41" s="1"/>
  <c r="T378" i="41" s="1"/>
  <c r="T383" i="41" s="1"/>
  <c r="T385" i="41" s="1"/>
  <c r="X395" i="41" s="1"/>
  <c r="X391" i="41" s="1"/>
  <c r="X402" i="41" s="1"/>
  <c r="J379" i="41"/>
  <c r="J425" i="41" s="1"/>
  <c r="J428" i="41" s="1"/>
  <c r="J380" i="41"/>
  <c r="J381" i="41" s="1"/>
  <c r="J439" i="41" s="1"/>
  <c r="G285" i="41"/>
  <c r="G331" i="41" s="1"/>
  <c r="G334" i="41" s="1"/>
  <c r="G335" i="41" s="1"/>
  <c r="H336" i="41" s="1"/>
  <c r="H353" i="41" s="1"/>
  <c r="J285" i="41"/>
  <c r="J331" i="41" s="1"/>
  <c r="J334" i="41" s="1"/>
  <c r="J335" i="41" s="1"/>
  <c r="K336" i="41" s="1"/>
  <c r="K353" i="41" s="1"/>
  <c r="L379" i="41"/>
  <c r="L425" i="41" s="1"/>
  <c r="L428" i="41" s="1"/>
  <c r="L429" i="41" s="1"/>
  <c r="M430" i="41" s="1"/>
  <c r="M447" i="41" s="1"/>
  <c r="J429" i="41"/>
  <c r="K430" i="41" s="1"/>
  <c r="K447" i="41" s="1"/>
  <c r="D285" i="41"/>
  <c r="D331" i="41" s="1"/>
  <c r="D334" i="41" s="1"/>
  <c r="D335" i="41" s="1"/>
  <c r="E336" i="41" s="1"/>
  <c r="E353" i="41" s="1"/>
  <c r="D286" i="41"/>
  <c r="D287" i="41" s="1"/>
  <c r="D345" i="41" s="1"/>
  <c r="X125" i="41"/>
  <c r="L371" i="41"/>
  <c r="M372" i="41" s="1"/>
  <c r="M436" i="41" s="1"/>
  <c r="M438" i="41" s="1"/>
  <c r="M285" i="41"/>
  <c r="M331" i="41" s="1"/>
  <c r="M334" i="41" s="1"/>
  <c r="M335" i="41" s="1"/>
  <c r="N336" i="41" s="1"/>
  <c r="N353" i="41" s="1"/>
  <c r="E379" i="41"/>
  <c r="E425" i="41" s="1"/>
  <c r="E428" i="41" s="1"/>
  <c r="E429" i="41" s="1"/>
  <c r="F430" i="41" s="1"/>
  <c r="F447" i="41" s="1"/>
  <c r="F285" i="41"/>
  <c r="F331" i="41" s="1"/>
  <c r="F334" i="41" s="1"/>
  <c r="F335" i="41" s="1"/>
  <c r="G336" i="41" s="1"/>
  <c r="G353" i="41" s="1"/>
  <c r="I285" i="41"/>
  <c r="I331" i="41" s="1"/>
  <c r="I334" i="41" s="1"/>
  <c r="I335" i="41" s="1"/>
  <c r="J336" i="41" s="1"/>
  <c r="J353" i="41" s="1"/>
  <c r="I371" i="41"/>
  <c r="J372" i="41" s="1"/>
  <c r="J436" i="41" s="1"/>
  <c r="J438" i="41" s="1"/>
  <c r="I424" i="41"/>
  <c r="D184" i="41"/>
  <c r="E185" i="41" s="1"/>
  <c r="E249" i="41" s="1"/>
  <c r="E251" i="41" s="1"/>
  <c r="N371" i="41"/>
  <c r="P372" i="41" s="1"/>
  <c r="T399" i="41" s="1"/>
  <c r="I379" i="41"/>
  <c r="I425" i="41" s="1"/>
  <c r="I428" i="41" s="1"/>
  <c r="C185" i="41"/>
  <c r="C249" i="41" s="1"/>
  <c r="C251" i="41" s="1"/>
  <c r="J192" i="41"/>
  <c r="J238" i="41" s="1"/>
  <c r="J241" i="41" s="1"/>
  <c r="J242" i="41" s="1"/>
  <c r="K243" i="41" s="1"/>
  <c r="K260" i="41" s="1"/>
  <c r="N184" i="41"/>
  <c r="P185" i="41" s="1"/>
  <c r="T213" i="41" s="1"/>
  <c r="N192" i="41"/>
  <c r="N238" i="41" s="1"/>
  <c r="N241" i="41" s="1"/>
  <c r="N242" i="41" s="1"/>
  <c r="P243" i="41" s="1"/>
  <c r="X214" i="41" s="1"/>
  <c r="X211" i="41" s="1"/>
  <c r="I192" i="41"/>
  <c r="I238" i="41" s="1"/>
  <c r="I241" i="41" s="1"/>
  <c r="I242" i="41" s="1"/>
  <c r="J243" i="41" s="1"/>
  <c r="J260" i="41" s="1"/>
  <c r="I193" i="41"/>
  <c r="I194" i="41" s="1"/>
  <c r="I252" i="41" s="1"/>
  <c r="E192" i="41"/>
  <c r="E238" i="41" s="1"/>
  <c r="E241" i="41" s="1"/>
  <c r="E242" i="41" s="1"/>
  <c r="F243" i="41" s="1"/>
  <c r="F260" i="41" s="1"/>
  <c r="E193" i="41"/>
  <c r="E194" i="41" s="1"/>
  <c r="E252" i="41" s="1"/>
  <c r="I184" i="41"/>
  <c r="J185" i="41" s="1"/>
  <c r="J249" i="41" s="1"/>
  <c r="J251" i="41" s="1"/>
  <c r="H192" i="41"/>
  <c r="H238" i="41" s="1"/>
  <c r="H241" i="41" s="1"/>
  <c r="H242" i="41" s="1"/>
  <c r="I243" i="41" s="1"/>
  <c r="I260" i="41" s="1"/>
  <c r="C192" i="41"/>
  <c r="C238" i="41" s="1"/>
  <c r="C241" i="41" s="1"/>
  <c r="C242" i="41" s="1"/>
  <c r="D243" i="41" s="1"/>
  <c r="D260" i="41" s="1"/>
  <c r="P191" i="41"/>
  <c r="F192" i="41"/>
  <c r="F238" i="41" s="1"/>
  <c r="F241" i="41" s="1"/>
  <c r="F242" i="41" s="1"/>
  <c r="G243" i="41" s="1"/>
  <c r="G260" i="41" s="1"/>
  <c r="M184" i="41"/>
  <c r="N185" i="41" s="1"/>
  <c r="N249" i="41" s="1"/>
  <c r="N251" i="41" s="1"/>
  <c r="D192" i="41"/>
  <c r="D238" i="41" s="1"/>
  <c r="D241" i="41" s="1"/>
  <c r="D242" i="41" s="1"/>
  <c r="E243" i="41" s="1"/>
  <c r="E260" i="41" s="1"/>
  <c r="L192" i="41"/>
  <c r="L238" i="41" s="1"/>
  <c r="L241" i="41" s="1"/>
  <c r="L242" i="41" s="1"/>
  <c r="M243" i="41" s="1"/>
  <c r="M260" i="41" s="1"/>
  <c r="G192" i="41"/>
  <c r="G238" i="41" s="1"/>
  <c r="G241" i="41" s="1"/>
  <c r="G242" i="41" s="1"/>
  <c r="H243" i="41" s="1"/>
  <c r="H260" i="41" s="1"/>
  <c r="L184" i="41"/>
  <c r="M185" i="41" s="1"/>
  <c r="M249" i="41" s="1"/>
  <c r="M251" i="41" s="1"/>
  <c r="M192" i="41"/>
  <c r="M238" i="41" s="1"/>
  <c r="M241" i="41" s="1"/>
  <c r="M242" i="41" s="1"/>
  <c r="N243" i="41" s="1"/>
  <c r="N260" i="41" s="1"/>
  <c r="V36" i="41"/>
  <c r="V33" i="41" s="1"/>
  <c r="T33" i="41"/>
  <c r="T38" i="41" s="1"/>
  <c r="V38" i="41" s="1"/>
  <c r="X39" i="41" s="1"/>
  <c r="K192" i="41"/>
  <c r="K238" i="41" s="1"/>
  <c r="K241" i="41" s="1"/>
  <c r="K242" i="41" s="1"/>
  <c r="L243" i="41" s="1"/>
  <c r="L260" i="41" s="1"/>
  <c r="P189" i="6"/>
  <c r="T182" i="6" s="1"/>
  <c r="T188" i="6" s="1"/>
  <c r="D25" i="13"/>
  <c r="D23" i="13" s="1"/>
  <c r="AB159" i="24"/>
  <c r="K246" i="14"/>
  <c r="L247" i="14" s="1"/>
  <c r="L264" i="14" s="1"/>
  <c r="N240" i="6"/>
  <c r="P241" i="6" s="1"/>
  <c r="X212" i="6" s="1"/>
  <c r="X209" i="6" s="1"/>
  <c r="AA261" i="26"/>
  <c r="AA272" i="26" s="1"/>
  <c r="W154" i="32"/>
  <c r="AE159" i="24"/>
  <c r="L190" i="6"/>
  <c r="L236" i="6" s="1"/>
  <c r="L239" i="6" s="1"/>
  <c r="L240" i="6" s="1"/>
  <c r="M241" i="6" s="1"/>
  <c r="M258" i="6" s="1"/>
  <c r="M259" i="6" s="1"/>
  <c r="M261" i="6" s="1"/>
  <c r="AA264" i="22"/>
  <c r="M246" i="14"/>
  <c r="N247" i="14" s="1"/>
  <c r="N264" i="14" s="1"/>
  <c r="C196" i="14"/>
  <c r="C242" i="14" s="1"/>
  <c r="C245" i="14" s="1"/>
  <c r="M188" i="14"/>
  <c r="N189" i="14" s="1"/>
  <c r="N253" i="14" s="1"/>
  <c r="N255" i="14" s="1"/>
  <c r="AE236" i="14" s="1"/>
  <c r="AE240" i="14" s="1"/>
  <c r="E188" i="32"/>
  <c r="F189" i="32" s="1"/>
  <c r="F253" i="32" s="1"/>
  <c r="F255" i="32" s="1"/>
  <c r="W236" i="32" s="1"/>
  <c r="W240" i="32" s="1"/>
  <c r="N182" i="6"/>
  <c r="P183" i="6" s="1"/>
  <c r="T211" i="6" s="1"/>
  <c r="V211" i="6" s="1"/>
  <c r="H173" i="6"/>
  <c r="I171" i="6" s="1"/>
  <c r="I173" i="6" s="1"/>
  <c r="J171" i="6" s="1"/>
  <c r="J173" i="6" s="1"/>
  <c r="K171" i="6" s="1"/>
  <c r="K173" i="6" s="1"/>
  <c r="L171" i="6" s="1"/>
  <c r="L173" i="6" s="1"/>
  <c r="M171" i="6" s="1"/>
  <c r="M173" i="6" s="1"/>
  <c r="N171" i="6" s="1"/>
  <c r="N173" i="6" s="1"/>
  <c r="P173" i="6" s="1"/>
  <c r="T123" i="6" s="1"/>
  <c r="V123" i="6" s="1"/>
  <c r="C260" i="6" s="1"/>
  <c r="C246" i="14"/>
  <c r="D247" i="14" s="1"/>
  <c r="D264" i="14" s="1"/>
  <c r="AA255" i="14"/>
  <c r="J176" i="14"/>
  <c r="D44" i="13"/>
  <c r="D42" i="13" s="1"/>
  <c r="AA166" i="33"/>
  <c r="AA177" i="33" s="1"/>
  <c r="C188" i="14"/>
  <c r="D189" i="14" s="1"/>
  <c r="D253" i="14" s="1"/>
  <c r="D255" i="14" s="1"/>
  <c r="U236" i="14" s="1"/>
  <c r="U240" i="14" s="1"/>
  <c r="C179" i="24"/>
  <c r="AB15" i="12"/>
  <c r="AC13" i="12" s="1"/>
  <c r="AC15" i="12" s="1"/>
  <c r="AD13" i="12" s="1"/>
  <c r="AD15" i="12" s="1"/>
  <c r="AE13" i="12" s="1"/>
  <c r="AE15" i="12" s="1"/>
  <c r="C191" i="6"/>
  <c r="C192" i="6" s="1"/>
  <c r="C250" i="6" s="1"/>
  <c r="C259" i="6" s="1"/>
  <c r="C261" i="6" s="1"/>
  <c r="C176" i="32"/>
  <c r="G246" i="14"/>
  <c r="H247" i="14" s="1"/>
  <c r="H264" i="14" s="1"/>
  <c r="I188" i="14"/>
  <c r="J189" i="14" s="1"/>
  <c r="J253" i="14" s="1"/>
  <c r="J255" i="14" s="1"/>
  <c r="AA236" i="14" s="1"/>
  <c r="AA240" i="14" s="1"/>
  <c r="C176" i="14"/>
  <c r="T150" i="14"/>
  <c r="T152" i="14" s="1"/>
  <c r="T154" i="14" s="1"/>
  <c r="T155" i="14" s="1"/>
  <c r="U153" i="14" s="1"/>
  <c r="U155" i="14" s="1"/>
  <c r="V153" i="14" s="1"/>
  <c r="V155" i="14" s="1"/>
  <c r="W153" i="14" s="1"/>
  <c r="W155" i="14" s="1"/>
  <c r="X153" i="14" s="1"/>
  <c r="X155" i="14" s="1"/>
  <c r="Y153" i="14" s="1"/>
  <c r="Y155" i="14" s="1"/>
  <c r="Z153" i="14" s="1"/>
  <c r="Z155" i="14" s="1"/>
  <c r="AA153" i="14" s="1"/>
  <c r="AA155" i="14" s="1"/>
  <c r="AB153" i="14" s="1"/>
  <c r="AB155" i="14" s="1"/>
  <c r="AC153" i="14" s="1"/>
  <c r="AC155" i="14" s="1"/>
  <c r="AD153" i="14" s="1"/>
  <c r="AD155" i="14" s="1"/>
  <c r="AE153" i="14" s="1"/>
  <c r="AE155" i="14" s="1"/>
  <c r="AA155" i="24"/>
  <c r="AA157" i="24" s="1"/>
  <c r="AA159" i="24" s="1"/>
  <c r="J179" i="24"/>
  <c r="I182" i="6"/>
  <c r="J183" i="6" s="1"/>
  <c r="J247" i="6" s="1"/>
  <c r="J249" i="6" s="1"/>
  <c r="F176" i="32"/>
  <c r="I240" i="6"/>
  <c r="J241" i="6" s="1"/>
  <c r="J258" i="6" s="1"/>
  <c r="T158" i="26"/>
  <c r="T160" i="26" s="1"/>
  <c r="U158" i="26" s="1"/>
  <c r="U160" i="26" s="1"/>
  <c r="V158" i="26" s="1"/>
  <c r="V160" i="26" s="1"/>
  <c r="W158" i="26" s="1"/>
  <c r="W160" i="26" s="1"/>
  <c r="X158" i="26" s="1"/>
  <c r="K191" i="33"/>
  <c r="L192" i="33" s="1"/>
  <c r="L257" i="33" s="1"/>
  <c r="L259" i="33" s="1"/>
  <c r="AC245" i="33" s="1"/>
  <c r="AC249" i="33" s="1"/>
  <c r="M188" i="32"/>
  <c r="N189" i="32" s="1"/>
  <c r="N253" i="32" s="1"/>
  <c r="N255" i="32" s="1"/>
  <c r="AE236" i="32" s="1"/>
  <c r="AE240" i="32" s="1"/>
  <c r="T158" i="24"/>
  <c r="H240" i="6"/>
  <c r="I241" i="6" s="1"/>
  <c r="I258" i="6" s="1"/>
  <c r="I259" i="6" s="1"/>
  <c r="I261" i="6" s="1"/>
  <c r="D106" i="12"/>
  <c r="D107" i="12" s="1"/>
  <c r="D164" i="12" s="1"/>
  <c r="D173" i="12" s="1"/>
  <c r="U149" i="12" s="1"/>
  <c r="U151" i="12" s="1"/>
  <c r="K179" i="24"/>
  <c r="E106" i="12"/>
  <c r="E107" i="12" s="1"/>
  <c r="E164" i="12" s="1"/>
  <c r="E173" i="12" s="1"/>
  <c r="AA166" i="24"/>
  <c r="AA177" i="24" s="1"/>
  <c r="G188" i="14"/>
  <c r="H189" i="14" s="1"/>
  <c r="H253" i="14" s="1"/>
  <c r="H255" i="14" s="1"/>
  <c r="Y236" i="14" s="1"/>
  <c r="Y240" i="14" s="1"/>
  <c r="E235" i="6"/>
  <c r="E240" i="6" s="1"/>
  <c r="F241" i="6" s="1"/>
  <c r="F258" i="6" s="1"/>
  <c r="F259" i="6" s="1"/>
  <c r="E182" i="6"/>
  <c r="F183" i="6" s="1"/>
  <c r="F247" i="6" s="1"/>
  <c r="F249" i="6" s="1"/>
  <c r="D191" i="6"/>
  <c r="D192" i="6" s="1"/>
  <c r="D250" i="6" s="1"/>
  <c r="D259" i="6" s="1"/>
  <c r="D261" i="6" s="1"/>
  <c r="H179" i="24"/>
  <c r="M197" i="14"/>
  <c r="M198" i="14" s="1"/>
  <c r="M256" i="14" s="1"/>
  <c r="M265" i="14" s="1"/>
  <c r="W159" i="24"/>
  <c r="F106" i="12"/>
  <c r="F107" i="12" s="1"/>
  <c r="F164" i="12" s="1"/>
  <c r="F173" i="12" s="1"/>
  <c r="W149" i="12" s="1"/>
  <c r="W151" i="12" s="1"/>
  <c r="T153" i="32"/>
  <c r="T155" i="32" s="1"/>
  <c r="U153" i="32" s="1"/>
  <c r="N191" i="24"/>
  <c r="P192" i="24" s="1"/>
  <c r="W269" i="24" s="1"/>
  <c r="Y269" i="24" s="1"/>
  <c r="N179" i="24"/>
  <c r="H197" i="14"/>
  <c r="H198" i="14" s="1"/>
  <c r="H256" i="14" s="1"/>
  <c r="J178" i="22"/>
  <c r="C188" i="32"/>
  <c r="D189" i="32" s="1"/>
  <c r="D253" i="32" s="1"/>
  <c r="D255" i="32" s="1"/>
  <c r="U236" i="32" s="1"/>
  <c r="U240" i="32" s="1"/>
  <c r="AA159" i="22"/>
  <c r="X155" i="24"/>
  <c r="X157" i="24" s="1"/>
  <c r="G179" i="24"/>
  <c r="W155" i="33"/>
  <c r="W157" i="33" s="1"/>
  <c r="W159" i="33" s="1"/>
  <c r="F179" i="33"/>
  <c r="X155" i="22"/>
  <c r="X157" i="22" s="1"/>
  <c r="X159" i="22" s="1"/>
  <c r="G178" i="22"/>
  <c r="I15" i="16"/>
  <c r="I12" i="16" s="1"/>
  <c r="G12" i="16"/>
  <c r="G17" i="16" s="1"/>
  <c r="I17" i="16" s="1"/>
  <c r="K18" i="16" s="1"/>
  <c r="J191" i="6"/>
  <c r="J192" i="6" s="1"/>
  <c r="J250" i="6" s="1"/>
  <c r="AA254" i="26"/>
  <c r="G270" i="26"/>
  <c r="N188" i="32"/>
  <c r="P189" i="32" s="1"/>
  <c r="W260" i="32" s="1"/>
  <c r="Y260" i="32" s="1"/>
  <c r="E197" i="14"/>
  <c r="E198" i="14" s="1"/>
  <c r="E256" i="14" s="1"/>
  <c r="E265" i="14" s="1"/>
  <c r="K197" i="14"/>
  <c r="K198" i="14" s="1"/>
  <c r="K256" i="14" s="1"/>
  <c r="K265" i="14" s="1"/>
  <c r="AB241" i="14" s="1"/>
  <c r="AB243" i="14" s="1"/>
  <c r="G12" i="5"/>
  <c r="G17" i="5" s="1"/>
  <c r="I17" i="5" s="1"/>
  <c r="K18" i="5" s="1"/>
  <c r="I15" i="5"/>
  <c r="I12" i="5" s="1"/>
  <c r="AA161" i="32"/>
  <c r="AA172" i="32" s="1"/>
  <c r="E179" i="33"/>
  <c r="D197" i="14"/>
  <c r="D198" i="14" s="1"/>
  <c r="D256" i="14" s="1"/>
  <c r="V159" i="33"/>
  <c r="D190" i="22"/>
  <c r="E191" i="22" s="1"/>
  <c r="E256" i="22" s="1"/>
  <c r="E258" i="22" s="1"/>
  <c r="H106" i="12"/>
  <c r="H107" i="12" s="1"/>
  <c r="H164" i="12" s="1"/>
  <c r="H173" i="12" s="1"/>
  <c r="Y149" i="12" s="1"/>
  <c r="Y151" i="12" s="1"/>
  <c r="U159" i="24"/>
  <c r="T33" i="6"/>
  <c r="T38" i="6" s="1"/>
  <c r="V38" i="6" s="1"/>
  <c r="X39" i="6" s="1"/>
  <c r="V36" i="6"/>
  <c r="V33" i="6" s="1"/>
  <c r="AB254" i="26"/>
  <c r="AC245" i="26"/>
  <c r="AC249" i="26" s="1"/>
  <c r="AC254" i="26" s="1"/>
  <c r="X154" i="32"/>
  <c r="E176" i="32"/>
  <c r="D179" i="24"/>
  <c r="W80" i="14"/>
  <c r="W82" i="14" s="1"/>
  <c r="G176" i="32"/>
  <c r="I106" i="12"/>
  <c r="I107" i="12" s="1"/>
  <c r="I164" i="12" s="1"/>
  <c r="I173" i="12" s="1"/>
  <c r="J188" i="32"/>
  <c r="K189" i="32" s="1"/>
  <c r="K253" i="32" s="1"/>
  <c r="K255" i="32" s="1"/>
  <c r="AB236" i="32" s="1"/>
  <c r="AB240" i="32" s="1"/>
  <c r="E191" i="33"/>
  <c r="F192" i="33" s="1"/>
  <c r="F257" i="33" s="1"/>
  <c r="F259" i="33" s="1"/>
  <c r="W245" i="33" s="1"/>
  <c r="W249" i="33" s="1"/>
  <c r="N16" i="7"/>
  <c r="N17" i="7" s="1"/>
  <c r="N74" i="7" s="1"/>
  <c r="N83" i="7" s="1"/>
  <c r="N85" i="7" s="1"/>
  <c r="G179" i="33"/>
  <c r="H190" i="22"/>
  <c r="I191" i="22" s="1"/>
  <c r="I256" i="22" s="1"/>
  <c r="I258" i="22" s="1"/>
  <c r="Z245" i="22" s="1"/>
  <c r="Z249" i="22" s="1"/>
  <c r="C86" i="7"/>
  <c r="D84" i="7" s="1"/>
  <c r="AD155" i="22"/>
  <c r="AD157" i="22" s="1"/>
  <c r="AD159" i="22" s="1"/>
  <c r="M178" i="22"/>
  <c r="K270" i="26"/>
  <c r="T189" i="6"/>
  <c r="T194" i="6" s="1"/>
  <c r="T196" i="6" s="1"/>
  <c r="X207" i="6" s="1"/>
  <c r="X203" i="6" s="1"/>
  <c r="X214" i="6" s="1"/>
  <c r="L191" i="24"/>
  <c r="C106" i="12"/>
  <c r="C107" i="12" s="1"/>
  <c r="C164" i="12" s="1"/>
  <c r="C173" i="12" s="1"/>
  <c r="T149" i="12" s="1"/>
  <c r="T151" i="12" s="1"/>
  <c r="T153" i="12" s="1"/>
  <c r="T154" i="12" s="1"/>
  <c r="U152" i="12" s="1"/>
  <c r="K176" i="32"/>
  <c r="F191" i="33"/>
  <c r="G192" i="33" s="1"/>
  <c r="G257" i="33" s="1"/>
  <c r="G259" i="33" s="1"/>
  <c r="X245" i="33" s="1"/>
  <c r="X249" i="33" s="1"/>
  <c r="L188" i="32"/>
  <c r="M189" i="32" s="1"/>
  <c r="M253" i="32" s="1"/>
  <c r="M255" i="32" s="1"/>
  <c r="AD236" i="32" s="1"/>
  <c r="AD240" i="32" s="1"/>
  <c r="K190" i="22"/>
  <c r="L191" i="22" s="1"/>
  <c r="L256" i="22" s="1"/>
  <c r="L258" i="22" s="1"/>
  <c r="AC245" i="22" s="1"/>
  <c r="AC249" i="22" s="1"/>
  <c r="C190" i="22"/>
  <c r="D191" i="22" s="1"/>
  <c r="D256" i="22" s="1"/>
  <c r="D258" i="22" s="1"/>
  <c r="U245" i="22" s="1"/>
  <c r="U249" i="22" s="1"/>
  <c r="T160" i="24"/>
  <c r="U158" i="24" s="1"/>
  <c r="J270" i="26"/>
  <c r="AA177" i="22"/>
  <c r="M16" i="7"/>
  <c r="M17" i="7" s="1"/>
  <c r="M74" i="7" s="1"/>
  <c r="M83" i="7" s="1"/>
  <c r="M85" i="7" s="1"/>
  <c r="AB154" i="32"/>
  <c r="D191" i="33"/>
  <c r="E192" i="33" s="1"/>
  <c r="E257" i="33" s="1"/>
  <c r="E259" i="33" s="1"/>
  <c r="F179" i="24"/>
  <c r="H198" i="22"/>
  <c r="H245" i="22" s="1"/>
  <c r="H248" i="22" s="1"/>
  <c r="H249" i="22" s="1"/>
  <c r="I250" i="22" s="1"/>
  <c r="I267" i="22" s="1"/>
  <c r="I199" i="24"/>
  <c r="I246" i="24" s="1"/>
  <c r="I249" i="24" s="1"/>
  <c r="I250" i="24" s="1"/>
  <c r="J251" i="24" s="1"/>
  <c r="J268" i="24" s="1"/>
  <c r="I200" i="24"/>
  <c r="I201" i="24" s="1"/>
  <c r="I260" i="24" s="1"/>
  <c r="L190" i="22"/>
  <c r="M191" i="22" s="1"/>
  <c r="M256" i="22" s="1"/>
  <c r="M258" i="22" s="1"/>
  <c r="M190" i="22"/>
  <c r="N191" i="22" s="1"/>
  <c r="N256" i="22" s="1"/>
  <c r="N258" i="22" s="1"/>
  <c r="L25" i="36"/>
  <c r="T260" i="14"/>
  <c r="T261" i="14" s="1"/>
  <c r="T266" i="14" s="1"/>
  <c r="T268" i="14" s="1"/>
  <c r="AA256" i="14" s="1"/>
  <c r="L25" i="13"/>
  <c r="F191" i="24"/>
  <c r="U155" i="22"/>
  <c r="U157" i="22" s="1"/>
  <c r="U159" i="22" s="1"/>
  <c r="D178" i="22"/>
  <c r="X159" i="33"/>
  <c r="P5" i="9"/>
  <c r="C5" i="10" s="1"/>
  <c r="C7" i="10" s="1"/>
  <c r="C14" i="9"/>
  <c r="C6" i="9"/>
  <c r="C60" i="9" s="1"/>
  <c r="I196" i="32"/>
  <c r="I242" i="32" s="1"/>
  <c r="I245" i="32" s="1"/>
  <c r="I246" i="32" s="1"/>
  <c r="J247" i="32" s="1"/>
  <c r="J264" i="32" s="1"/>
  <c r="E198" i="22"/>
  <c r="E245" i="22" s="1"/>
  <c r="E248" i="22" s="1"/>
  <c r="E249" i="22" s="1"/>
  <c r="F250" i="22" s="1"/>
  <c r="F267" i="22" s="1"/>
  <c r="J191" i="33"/>
  <c r="K192" i="33" s="1"/>
  <c r="K257" i="33" s="1"/>
  <c r="K259" i="33" s="1"/>
  <c r="AA150" i="32"/>
  <c r="AA152" i="32" s="1"/>
  <c r="AA154" i="32" s="1"/>
  <c r="J176" i="32"/>
  <c r="E186" i="12"/>
  <c r="E240" i="12" s="1"/>
  <c r="E194" i="12"/>
  <c r="D6" i="9"/>
  <c r="D60" i="9" s="1"/>
  <c r="D14" i="9"/>
  <c r="H196" i="32"/>
  <c r="H242" i="32" s="1"/>
  <c r="H245" i="32" s="1"/>
  <c r="H246" i="32" s="1"/>
  <c r="I247" i="32" s="1"/>
  <c r="I264" i="32" s="1"/>
  <c r="D199" i="33"/>
  <c r="D246" i="33" s="1"/>
  <c r="D249" i="33" s="1"/>
  <c r="D250" i="33" s="1"/>
  <c r="E251" i="33" s="1"/>
  <c r="E268" i="33" s="1"/>
  <c r="E191" i="6"/>
  <c r="E192" i="6" s="1"/>
  <c r="E250" i="6" s="1"/>
  <c r="W82" i="33"/>
  <c r="T158" i="33"/>
  <c r="L176" i="32"/>
  <c r="C196" i="32"/>
  <c r="C242" i="32" s="1"/>
  <c r="C245" i="32" s="1"/>
  <c r="C246" i="32" s="1"/>
  <c r="D247" i="32" s="1"/>
  <c r="D264" i="32" s="1"/>
  <c r="P195" i="32"/>
  <c r="T254" i="32" s="1"/>
  <c r="T260" i="32" s="1"/>
  <c r="T261" i="32" s="1"/>
  <c r="T266" i="32" s="1"/>
  <c r="T268" i="32" s="1"/>
  <c r="AA256" i="32" s="1"/>
  <c r="AA252" i="32" s="1"/>
  <c r="P185" i="12"/>
  <c r="T250" i="12" s="1"/>
  <c r="T252" i="12" s="1"/>
  <c r="C194" i="12"/>
  <c r="C186" i="12"/>
  <c r="C240" i="12" s="1"/>
  <c r="E190" i="22"/>
  <c r="F191" i="22" s="1"/>
  <c r="F256" i="22" s="1"/>
  <c r="F258" i="22" s="1"/>
  <c r="Y245" i="22"/>
  <c r="Y249" i="22" s="1"/>
  <c r="F199" i="24"/>
  <c r="F246" i="24" s="1"/>
  <c r="F249" i="24" s="1"/>
  <c r="F250" i="24" s="1"/>
  <c r="G251" i="24" s="1"/>
  <c r="G268" i="24" s="1"/>
  <c r="H14" i="9"/>
  <c r="H6" i="9"/>
  <c r="H60" i="9" s="1"/>
  <c r="I188" i="32"/>
  <c r="J189" i="32" s="1"/>
  <c r="J253" i="32" s="1"/>
  <c r="J255" i="32" s="1"/>
  <c r="M191" i="33"/>
  <c r="N192" i="33" s="1"/>
  <c r="N257" i="33" s="1"/>
  <c r="N259" i="33" s="1"/>
  <c r="E196" i="32"/>
  <c r="E242" i="32" s="1"/>
  <c r="E245" i="32" s="1"/>
  <c r="E246" i="32" s="1"/>
  <c r="F247" i="32" s="1"/>
  <c r="F264" i="32" s="1"/>
  <c r="P10" i="13"/>
  <c r="Q9" i="13"/>
  <c r="K196" i="32"/>
  <c r="K242" i="32" s="1"/>
  <c r="K245" i="32" s="1"/>
  <c r="K246" i="32" s="1"/>
  <c r="L247" i="32" s="1"/>
  <c r="L264" i="32" s="1"/>
  <c r="F197" i="14"/>
  <c r="F198" i="14" s="1"/>
  <c r="F256" i="14" s="1"/>
  <c r="F265" i="14" s="1"/>
  <c r="F14" i="9"/>
  <c r="F6" i="9"/>
  <c r="F60" i="9" s="1"/>
  <c r="J198" i="22"/>
  <c r="J245" i="22" s="1"/>
  <c r="J248" i="22" s="1"/>
  <c r="J249" i="22" s="1"/>
  <c r="K250" i="22" s="1"/>
  <c r="K267" i="22" s="1"/>
  <c r="L179" i="24"/>
  <c r="H199" i="33"/>
  <c r="H246" i="33" s="1"/>
  <c r="H249" i="33" s="1"/>
  <c r="H250" i="33" s="1"/>
  <c r="I251" i="33" s="1"/>
  <c r="I268" i="33" s="1"/>
  <c r="AC155" i="22"/>
  <c r="AC157" i="22" s="1"/>
  <c r="AC159" i="22" s="1"/>
  <c r="L178" i="22"/>
  <c r="Y150" i="32"/>
  <c r="Y152" i="32" s="1"/>
  <c r="Y154" i="32" s="1"/>
  <c r="H176" i="32"/>
  <c r="H188" i="32"/>
  <c r="I189" i="32" s="1"/>
  <c r="I253" i="32" s="1"/>
  <c r="I255" i="32" s="1"/>
  <c r="V154" i="32"/>
  <c r="Y245" i="33"/>
  <c r="Y249" i="33" s="1"/>
  <c r="N196" i="32"/>
  <c r="N242" i="32" s="1"/>
  <c r="N245" i="32" s="1"/>
  <c r="N246" i="32" s="1"/>
  <c r="P247" i="32" s="1"/>
  <c r="AA261" i="32" s="1"/>
  <c r="AA258" i="32" s="1"/>
  <c r="L198" i="22"/>
  <c r="L245" i="22" s="1"/>
  <c r="L248" i="22" s="1"/>
  <c r="L249" i="22" s="1"/>
  <c r="M250" i="22" s="1"/>
  <c r="M267" i="22" s="1"/>
  <c r="T155" i="33"/>
  <c r="T157" i="33" s="1"/>
  <c r="T159" i="33" s="1"/>
  <c r="C179" i="33"/>
  <c r="I191" i="24"/>
  <c r="Z155" i="33"/>
  <c r="Z157" i="33" s="1"/>
  <c r="Z159" i="33" s="1"/>
  <c r="I179" i="33"/>
  <c r="C175" i="32"/>
  <c r="Y80" i="32"/>
  <c r="Y82" i="32" s="1"/>
  <c r="AA83" i="32" s="1"/>
  <c r="W82" i="32"/>
  <c r="T155" i="22"/>
  <c r="T157" i="22" s="1"/>
  <c r="T159" i="22" s="1"/>
  <c r="C178" i="22"/>
  <c r="U144" i="12"/>
  <c r="U148" i="12" s="1"/>
  <c r="AC154" i="32"/>
  <c r="M198" i="22"/>
  <c r="M245" i="22" s="1"/>
  <c r="M248" i="22" s="1"/>
  <c r="M249" i="22" s="1"/>
  <c r="N250" i="22" s="1"/>
  <c r="N267" i="22" s="1"/>
  <c r="F178" i="22"/>
  <c r="K199" i="24"/>
  <c r="K246" i="24" s="1"/>
  <c r="K249" i="24" s="1"/>
  <c r="K250" i="24" s="1"/>
  <c r="L251" i="24" s="1"/>
  <c r="L268" i="24" s="1"/>
  <c r="E199" i="33"/>
  <c r="E246" i="33" s="1"/>
  <c r="E249" i="33" s="1"/>
  <c r="E250" i="33" s="1"/>
  <c r="F251" i="33" s="1"/>
  <c r="F268" i="33" s="1"/>
  <c r="G265" i="14"/>
  <c r="I186" i="12"/>
  <c r="I240" i="12" s="1"/>
  <c r="I194" i="12"/>
  <c r="AC159" i="24"/>
  <c r="AC236" i="14"/>
  <c r="AC240" i="14" s="1"/>
  <c r="Z245" i="33"/>
  <c r="Z249" i="33" s="1"/>
  <c r="W84" i="24"/>
  <c r="Y82" i="24"/>
  <c r="Y84" i="24" s="1"/>
  <c r="AA85" i="24" s="1"/>
  <c r="C178" i="24"/>
  <c r="Y260" i="14"/>
  <c r="Y144" i="12"/>
  <c r="Y148" i="12" s="1"/>
  <c r="Y153" i="12" s="1"/>
  <c r="H175" i="12"/>
  <c r="P198" i="24"/>
  <c r="T263" i="24" s="1"/>
  <c r="T269" i="24" s="1"/>
  <c r="T270" i="24" s="1"/>
  <c r="T275" i="24" s="1"/>
  <c r="T277" i="24" s="1"/>
  <c r="AA265" i="24" s="1"/>
  <c r="AA261" i="24" s="1"/>
  <c r="C199" i="24"/>
  <c r="C246" i="24" s="1"/>
  <c r="C249" i="24" s="1"/>
  <c r="C250" i="24" s="1"/>
  <c r="D251" i="24" s="1"/>
  <c r="D268" i="24" s="1"/>
  <c r="P197" i="22"/>
  <c r="T263" i="22" s="1"/>
  <c r="T269" i="22" s="1"/>
  <c r="T270" i="22" s="1"/>
  <c r="T275" i="22" s="1"/>
  <c r="T277" i="22" s="1"/>
  <c r="AA265" i="22" s="1"/>
  <c r="AA261" i="22" s="1"/>
  <c r="C198" i="22"/>
  <c r="C245" i="22" s="1"/>
  <c r="C248" i="22" s="1"/>
  <c r="C249" i="22" s="1"/>
  <c r="D250" i="22" s="1"/>
  <c r="D267" i="22" s="1"/>
  <c r="AA144" i="12"/>
  <c r="AA148" i="12" s="1"/>
  <c r="Y155" i="33"/>
  <c r="Y157" i="33" s="1"/>
  <c r="Y159" i="33" s="1"/>
  <c r="H179" i="33"/>
  <c r="L106" i="12"/>
  <c r="L107" i="12" s="1"/>
  <c r="L164" i="12" s="1"/>
  <c r="L173" i="12" s="1"/>
  <c r="AC149" i="12" s="1"/>
  <c r="AC151" i="12" s="1"/>
  <c r="AB155" i="33"/>
  <c r="AB157" i="33" s="1"/>
  <c r="AB159" i="33" s="1"/>
  <c r="K179" i="33"/>
  <c r="C177" i="26"/>
  <c r="C179" i="26" s="1"/>
  <c r="D177" i="26" s="1"/>
  <c r="D179" i="26" s="1"/>
  <c r="E177" i="26" s="1"/>
  <c r="E179" i="26" s="1"/>
  <c r="F177" i="26" s="1"/>
  <c r="F179" i="26" s="1"/>
  <c r="G177" i="26" s="1"/>
  <c r="G179" i="26" s="1"/>
  <c r="H177" i="26" s="1"/>
  <c r="H179" i="26" s="1"/>
  <c r="I177" i="26" s="1"/>
  <c r="I179" i="26" s="1"/>
  <c r="J177" i="26" s="1"/>
  <c r="J179" i="26" s="1"/>
  <c r="K177" i="26" s="1"/>
  <c r="K179" i="26" s="1"/>
  <c r="L177" i="26" s="1"/>
  <c r="L179" i="26" s="1"/>
  <c r="M177" i="26" s="1"/>
  <c r="M179" i="26" s="1"/>
  <c r="N177" i="26" s="1"/>
  <c r="N179" i="26" s="1"/>
  <c r="P179" i="26" s="1"/>
  <c r="Y82" i="26"/>
  <c r="Y84" i="26" s="1"/>
  <c r="AA85" i="26" s="1"/>
  <c r="W84" i="26"/>
  <c r="M173" i="12"/>
  <c r="AD149" i="12" s="1"/>
  <c r="AD151" i="12" s="1"/>
  <c r="AD150" i="32"/>
  <c r="AD152" i="32" s="1"/>
  <c r="AD154" i="32" s="1"/>
  <c r="M176" i="32"/>
  <c r="D11" i="13"/>
  <c r="D10" i="13" s="1"/>
  <c r="D16" i="13" s="1"/>
  <c r="D18" i="13" s="1"/>
  <c r="E17" i="13" s="1"/>
  <c r="D48" i="13"/>
  <c r="D47" i="13" s="1"/>
  <c r="D53" i="13" s="1"/>
  <c r="D55" i="13" s="1"/>
  <c r="E54" i="13" s="1"/>
  <c r="D30" i="13"/>
  <c r="D29" i="13" s="1"/>
  <c r="D35" i="13" s="1"/>
  <c r="D37" i="13" s="1"/>
  <c r="E36" i="13" s="1"/>
  <c r="G198" i="22"/>
  <c r="G245" i="22" s="1"/>
  <c r="G248" i="22" s="1"/>
  <c r="G249" i="22" s="1"/>
  <c r="H250" i="22" s="1"/>
  <c r="H267" i="22" s="1"/>
  <c r="V236" i="14"/>
  <c r="V240" i="14" s="1"/>
  <c r="L24" i="36"/>
  <c r="L24" i="13"/>
  <c r="Y236" i="32"/>
  <c r="Y240" i="32" s="1"/>
  <c r="I83" i="7"/>
  <c r="I85" i="7" s="1"/>
  <c r="AC236" i="32"/>
  <c r="AC240" i="32" s="1"/>
  <c r="N198" i="22"/>
  <c r="N245" i="22" s="1"/>
  <c r="N248" i="22" s="1"/>
  <c r="N249" i="22" s="1"/>
  <c r="P250" i="22" s="1"/>
  <c r="AA270" i="22" s="1"/>
  <c r="AA267" i="22" s="1"/>
  <c r="K191" i="6"/>
  <c r="K192" i="6" s="1"/>
  <c r="K250" i="6" s="1"/>
  <c r="K259" i="6" s="1"/>
  <c r="K261" i="6" s="1"/>
  <c r="N191" i="33"/>
  <c r="P192" i="33" s="1"/>
  <c r="W269" i="33" s="1"/>
  <c r="W159" i="22"/>
  <c r="M199" i="33"/>
  <c r="M246" i="33" s="1"/>
  <c r="M249" i="33" s="1"/>
  <c r="M250" i="33" s="1"/>
  <c r="N251" i="33" s="1"/>
  <c r="N268" i="33" s="1"/>
  <c r="AC155" i="33"/>
  <c r="AC157" i="33" s="1"/>
  <c r="AC159" i="33" s="1"/>
  <c r="L179" i="33"/>
  <c r="J16" i="7"/>
  <c r="J17" i="7" s="1"/>
  <c r="J74" i="7" s="1"/>
  <c r="J83" i="7" s="1"/>
  <c r="J85" i="7" s="1"/>
  <c r="E16" i="7"/>
  <c r="E17" i="7" s="1"/>
  <c r="E74" i="7" s="1"/>
  <c r="E83" i="7" s="1"/>
  <c r="E85" i="7" s="1"/>
  <c r="K191" i="24"/>
  <c r="N106" i="12"/>
  <c r="N107" i="12" s="1"/>
  <c r="N164" i="12" s="1"/>
  <c r="N173" i="12" s="1"/>
  <c r="AE149" i="12" s="1"/>
  <c r="AE151" i="12" s="1"/>
  <c r="N190" i="22"/>
  <c r="P191" i="22" s="1"/>
  <c r="W269" i="22" s="1"/>
  <c r="L197" i="14"/>
  <c r="L198" i="14" s="1"/>
  <c r="L256" i="14" s="1"/>
  <c r="L14" i="9"/>
  <c r="L6" i="9"/>
  <c r="L60" i="9" s="1"/>
  <c r="Y155" i="22"/>
  <c r="Y157" i="22" s="1"/>
  <c r="Y159" i="22" s="1"/>
  <c r="H178" i="22"/>
  <c r="J190" i="22"/>
  <c r="K191" i="22" s="1"/>
  <c r="K256" i="22" s="1"/>
  <c r="K258" i="22" s="1"/>
  <c r="J106" i="12"/>
  <c r="J107" i="12" s="1"/>
  <c r="J164" i="12" s="1"/>
  <c r="J173" i="12" s="1"/>
  <c r="AA149" i="12" s="1"/>
  <c r="AA151" i="12" s="1"/>
  <c r="N199" i="33"/>
  <c r="N246" i="33" s="1"/>
  <c r="N249" i="33" s="1"/>
  <c r="N197" i="14"/>
  <c r="N198" i="14" s="1"/>
  <c r="N256" i="14" s="1"/>
  <c r="N265" i="14" s="1"/>
  <c r="AB236" i="14"/>
  <c r="AB240" i="14" s="1"/>
  <c r="G196" i="32"/>
  <c r="G242" i="32" s="1"/>
  <c r="G245" i="32" s="1"/>
  <c r="G246" i="32" s="1"/>
  <c r="H247" i="32" s="1"/>
  <c r="H264" i="32" s="1"/>
  <c r="G197" i="32"/>
  <c r="G198" i="32" s="1"/>
  <c r="G256" i="32" s="1"/>
  <c r="V245" i="22"/>
  <c r="V249" i="22" s="1"/>
  <c r="K6" i="9"/>
  <c r="K60" i="9" s="1"/>
  <c r="K14" i="9"/>
  <c r="I178" i="22"/>
  <c r="E199" i="24"/>
  <c r="E246" i="24" s="1"/>
  <c r="E249" i="24" s="1"/>
  <c r="E250" i="24" s="1"/>
  <c r="F251" i="24" s="1"/>
  <c r="F268" i="24" s="1"/>
  <c r="AE155" i="22"/>
  <c r="AE157" i="22" s="1"/>
  <c r="AE159" i="22" s="1"/>
  <c r="N178" i="22"/>
  <c r="L199" i="24"/>
  <c r="L246" i="24" s="1"/>
  <c r="L249" i="24" s="1"/>
  <c r="L250" i="24" s="1"/>
  <c r="M251" i="24" s="1"/>
  <c r="M268" i="24" s="1"/>
  <c r="AD144" i="12"/>
  <c r="AD148" i="12" s="1"/>
  <c r="M199" i="24"/>
  <c r="M246" i="24" s="1"/>
  <c r="M249" i="24" s="1"/>
  <c r="M250" i="24" s="1"/>
  <c r="N251" i="24" s="1"/>
  <c r="N268" i="24" s="1"/>
  <c r="D194" i="12"/>
  <c r="D186" i="12"/>
  <c r="D240" i="12" s="1"/>
  <c r="D187" i="12"/>
  <c r="E188" i="12" s="1"/>
  <c r="E252" i="12" s="1"/>
  <c r="E254" i="12" s="1"/>
  <c r="Z159" i="22"/>
  <c r="G83" i="7"/>
  <c r="G85" i="7" s="1"/>
  <c r="C191" i="24"/>
  <c r="E191" i="24"/>
  <c r="D16" i="7"/>
  <c r="D17" i="7" s="1"/>
  <c r="D74" i="7" s="1"/>
  <c r="D83" i="7" s="1"/>
  <c r="D85" i="7" s="1"/>
  <c r="D86" i="7" s="1"/>
  <c r="E84" i="7" s="1"/>
  <c r="AE155" i="33"/>
  <c r="AE157" i="33" s="1"/>
  <c r="AE159" i="33" s="1"/>
  <c r="N179" i="33"/>
  <c r="M191" i="24"/>
  <c r="D198" i="22"/>
  <c r="D245" i="22" s="1"/>
  <c r="D248" i="22" s="1"/>
  <c r="D249" i="22" s="1"/>
  <c r="E250" i="22" s="1"/>
  <c r="E267" i="22" s="1"/>
  <c r="I6" i="9"/>
  <c r="I60" i="9" s="1"/>
  <c r="I14" i="9"/>
  <c r="M6" i="9"/>
  <c r="M60" i="9" s="1"/>
  <c r="M14" i="9"/>
  <c r="T158" i="22"/>
  <c r="W82" i="22"/>
  <c r="M196" i="32"/>
  <c r="M242" i="32" s="1"/>
  <c r="M245" i="32" s="1"/>
  <c r="M246" i="32" s="1"/>
  <c r="N247" i="32" s="1"/>
  <c r="N264" i="32" s="1"/>
  <c r="K194" i="12"/>
  <c r="K186" i="12"/>
  <c r="K240" i="12" s="1"/>
  <c r="J197" i="14"/>
  <c r="J198" i="14" s="1"/>
  <c r="J256" i="14" s="1"/>
  <c r="J265" i="14" s="1"/>
  <c r="W144" i="12"/>
  <c r="W148" i="12" s="1"/>
  <c r="N194" i="12"/>
  <c r="N186" i="12"/>
  <c r="N240" i="12" s="1"/>
  <c r="J6" i="9"/>
  <c r="J60" i="9" s="1"/>
  <c r="J14" i="9"/>
  <c r="C191" i="33"/>
  <c r="D192" i="33" s="1"/>
  <c r="D257" i="33" s="1"/>
  <c r="D259" i="33" s="1"/>
  <c r="N176" i="32"/>
  <c r="X159" i="24"/>
  <c r="I179" i="24"/>
  <c r="N199" i="24"/>
  <c r="N246" i="24" s="1"/>
  <c r="N249" i="24" s="1"/>
  <c r="N250" i="24" s="1"/>
  <c r="P251" i="24" s="1"/>
  <c r="AA270" i="24" s="1"/>
  <c r="AA267" i="24" s="1"/>
  <c r="F196" i="32"/>
  <c r="F242" i="32" s="1"/>
  <c r="F245" i="32" s="1"/>
  <c r="F246" i="32" s="1"/>
  <c r="G247" i="32" s="1"/>
  <c r="G264" i="32" s="1"/>
  <c r="M179" i="24"/>
  <c r="I190" i="22"/>
  <c r="J191" i="22" s="1"/>
  <c r="J256" i="22" s="1"/>
  <c r="J258" i="22" s="1"/>
  <c r="L191" i="33"/>
  <c r="M192" i="33" s="1"/>
  <c r="M257" i="33" s="1"/>
  <c r="M259" i="33" s="1"/>
  <c r="Z250" i="26"/>
  <c r="Z252" i="26" s="1"/>
  <c r="Z254" i="26" s="1"/>
  <c r="I270" i="26"/>
  <c r="F199" i="33"/>
  <c r="F246" i="33" s="1"/>
  <c r="F249" i="33" s="1"/>
  <c r="F250" i="33" s="1"/>
  <c r="G251" i="33" s="1"/>
  <c r="G268" i="33" s="1"/>
  <c r="G14" i="9"/>
  <c r="G6" i="9"/>
  <c r="G60" i="9" s="1"/>
  <c r="M186" i="12"/>
  <c r="M240" i="12" s="1"/>
  <c r="M194" i="12"/>
  <c r="AE144" i="12"/>
  <c r="AE148" i="12" s="1"/>
  <c r="E25" i="36"/>
  <c r="E23" i="36" s="1"/>
  <c r="E7" i="36"/>
  <c r="E5" i="36" s="1"/>
  <c r="X144" i="12"/>
  <c r="X148" i="12" s="1"/>
  <c r="AE154" i="32"/>
  <c r="H186" i="12"/>
  <c r="H240" i="12" s="1"/>
  <c r="H194" i="12"/>
  <c r="G199" i="33"/>
  <c r="G246" i="33" s="1"/>
  <c r="G249" i="33" s="1"/>
  <c r="G250" i="33" s="1"/>
  <c r="H251" i="33" s="1"/>
  <c r="H268" i="33" s="1"/>
  <c r="D196" i="32"/>
  <c r="D242" i="32" s="1"/>
  <c r="D245" i="32" s="1"/>
  <c r="D246" i="32" s="1"/>
  <c r="E247" i="32" s="1"/>
  <c r="E264" i="32" s="1"/>
  <c r="H259" i="6"/>
  <c r="H261" i="6" s="1"/>
  <c r="D191" i="24"/>
  <c r="J154" i="12"/>
  <c r="K155" i="12" s="1"/>
  <c r="K172" i="12" s="1"/>
  <c r="K173" i="12" s="1"/>
  <c r="G191" i="24"/>
  <c r="N191" i="6"/>
  <c r="N192" i="6" s="1"/>
  <c r="N250" i="6" s="1"/>
  <c r="N259" i="6" s="1"/>
  <c r="N261" i="6" s="1"/>
  <c r="D199" i="24"/>
  <c r="D246" i="24" s="1"/>
  <c r="D249" i="24" s="1"/>
  <c r="D250" i="24" s="1"/>
  <c r="E251" i="24" s="1"/>
  <c r="E268" i="24" s="1"/>
  <c r="AB144" i="12"/>
  <c r="AB148" i="12" s="1"/>
  <c r="AC144" i="12"/>
  <c r="AC148" i="12" s="1"/>
  <c r="Z159" i="24"/>
  <c r="G199" i="24"/>
  <c r="G246" i="24" s="1"/>
  <c r="G249" i="24" s="1"/>
  <c r="G250" i="24" s="1"/>
  <c r="H251" i="24" s="1"/>
  <c r="H268" i="24" s="1"/>
  <c r="J196" i="32"/>
  <c r="J242" i="32" s="1"/>
  <c r="J245" i="32" s="1"/>
  <c r="J246" i="32" s="1"/>
  <c r="K247" i="32" s="1"/>
  <c r="K264" i="32" s="1"/>
  <c r="F188" i="32"/>
  <c r="G189" i="32" s="1"/>
  <c r="G253" i="32" s="1"/>
  <c r="G255" i="32" s="1"/>
  <c r="AD159" i="24"/>
  <c r="H191" i="24"/>
  <c r="N64" i="7"/>
  <c r="P65" i="7" s="1"/>
  <c r="L199" i="33"/>
  <c r="L246" i="33" s="1"/>
  <c r="L249" i="33" s="1"/>
  <c r="L250" i="33" s="1"/>
  <c r="M251" i="33" s="1"/>
  <c r="M268" i="33" s="1"/>
  <c r="J191" i="24"/>
  <c r="I191" i="33"/>
  <c r="J192" i="33" s="1"/>
  <c r="J257" i="33" s="1"/>
  <c r="J259" i="33" s="1"/>
  <c r="L196" i="32"/>
  <c r="L242" i="32" s="1"/>
  <c r="L245" i="32" s="1"/>
  <c r="L246" i="32" s="1"/>
  <c r="M247" i="32" s="1"/>
  <c r="M264" i="32" s="1"/>
  <c r="AB155" i="22"/>
  <c r="AB157" i="22" s="1"/>
  <c r="AB159" i="22" s="1"/>
  <c r="K178" i="22"/>
  <c r="N6" i="9"/>
  <c r="N60" i="9" s="1"/>
  <c r="N14" i="9"/>
  <c r="G186" i="12"/>
  <c r="G240" i="12" s="1"/>
  <c r="G194" i="12"/>
  <c r="P11" i="36"/>
  <c r="Q11" i="36" s="1"/>
  <c r="Q10" i="36"/>
  <c r="U150" i="32"/>
  <c r="U152" i="32" s="1"/>
  <c r="U154" i="32" s="1"/>
  <c r="D176" i="32"/>
  <c r="F198" i="22"/>
  <c r="F245" i="22" s="1"/>
  <c r="F248" i="22" s="1"/>
  <c r="F249" i="22" s="1"/>
  <c r="G250" i="22" s="1"/>
  <c r="G267" i="22" s="1"/>
  <c r="AA254" i="12"/>
  <c r="AA160" i="12"/>
  <c r="AA171" i="12" s="1"/>
  <c r="C199" i="33"/>
  <c r="C246" i="33" s="1"/>
  <c r="C249" i="33" s="1"/>
  <c r="C250" i="33" s="1"/>
  <c r="D251" i="33" s="1"/>
  <c r="D268" i="33" s="1"/>
  <c r="P198" i="33"/>
  <c r="T263" i="33" s="1"/>
  <c r="T269" i="33" s="1"/>
  <c r="T270" i="33" s="1"/>
  <c r="T275" i="33" s="1"/>
  <c r="T277" i="33" s="1"/>
  <c r="AA265" i="33" s="1"/>
  <c r="AA261" i="33" s="1"/>
  <c r="D188" i="32"/>
  <c r="E189" i="32" s="1"/>
  <c r="E253" i="32" s="1"/>
  <c r="E255" i="32" s="1"/>
  <c r="G191" i="6"/>
  <c r="G192" i="6" s="1"/>
  <c r="G250" i="6" s="1"/>
  <c r="G259" i="6" s="1"/>
  <c r="G261" i="6" s="1"/>
  <c r="G173" i="12"/>
  <c r="X149" i="12" s="1"/>
  <c r="X151" i="12" s="1"/>
  <c r="Z236" i="14"/>
  <c r="Z240" i="14" s="1"/>
  <c r="W78" i="12"/>
  <c r="P85" i="12"/>
  <c r="C174" i="12"/>
  <c r="M270" i="26"/>
  <c r="V144" i="12"/>
  <c r="V148" i="12" s="1"/>
  <c r="V245" i="33"/>
  <c r="V249" i="33" s="1"/>
  <c r="C188" i="12"/>
  <c r="C252" i="12" s="1"/>
  <c r="C254" i="12" s="1"/>
  <c r="C8" i="9"/>
  <c r="C72" i="9" s="1"/>
  <c r="C74" i="9" s="1"/>
  <c r="J199" i="24"/>
  <c r="J246" i="24" s="1"/>
  <c r="J249" i="24" s="1"/>
  <c r="J250" i="24" s="1"/>
  <c r="K251" i="24" s="1"/>
  <c r="K268" i="24" s="1"/>
  <c r="I199" i="33"/>
  <c r="I246" i="33" s="1"/>
  <c r="I249" i="33" s="1"/>
  <c r="I250" i="33" s="1"/>
  <c r="J251" i="33" s="1"/>
  <c r="J268" i="33" s="1"/>
  <c r="F83" i="7"/>
  <c r="F85" i="7" s="1"/>
  <c r="J186" i="12"/>
  <c r="J240" i="12" s="1"/>
  <c r="J194" i="12"/>
  <c r="E6" i="9"/>
  <c r="E60" i="9" s="1"/>
  <c r="E14" i="9"/>
  <c r="X160" i="26"/>
  <c r="Y158" i="26" s="1"/>
  <c r="Y160" i="26" s="1"/>
  <c r="Z158" i="26" s="1"/>
  <c r="Z160" i="26" s="1"/>
  <c r="AA158" i="26" s="1"/>
  <c r="AA160" i="26" s="1"/>
  <c r="AB158" i="26" s="1"/>
  <c r="AB160" i="26" s="1"/>
  <c r="AC158" i="26" s="1"/>
  <c r="AC160" i="26" s="1"/>
  <c r="AD158" i="26" s="1"/>
  <c r="AD160" i="26" s="1"/>
  <c r="AE158" i="26" s="1"/>
  <c r="AE160" i="26" s="1"/>
  <c r="L16" i="7"/>
  <c r="L17" i="7" s="1"/>
  <c r="L74" i="7" s="1"/>
  <c r="L83" i="7" s="1"/>
  <c r="L85" i="7" s="1"/>
  <c r="AD254" i="26"/>
  <c r="H199" i="24"/>
  <c r="H246" i="24" s="1"/>
  <c r="H249" i="24" s="1"/>
  <c r="H250" i="24" s="1"/>
  <c r="I251" i="24" s="1"/>
  <c r="I268" i="24" s="1"/>
  <c r="E179" i="24"/>
  <c r="V150" i="24"/>
  <c r="V154" i="24" s="1"/>
  <c r="V159" i="24" s="1"/>
  <c r="C14" i="8"/>
  <c r="C19" i="8" s="1"/>
  <c r="C21" i="8" s="1"/>
  <c r="K9" i="8" s="1"/>
  <c r="Z144" i="12"/>
  <c r="Z148" i="12" s="1"/>
  <c r="K16" i="7"/>
  <c r="K17" i="7" s="1"/>
  <c r="K74" i="7" s="1"/>
  <c r="K83" i="7" s="1"/>
  <c r="K85" i="7" s="1"/>
  <c r="F190" i="22"/>
  <c r="G191" i="22" s="1"/>
  <c r="G256" i="22" s="1"/>
  <c r="G258" i="22" s="1"/>
  <c r="K198" i="22"/>
  <c r="K245" i="22" s="1"/>
  <c r="K248" i="22" s="1"/>
  <c r="K249" i="22" s="1"/>
  <c r="L250" i="22" s="1"/>
  <c r="L267" i="22" s="1"/>
  <c r="D31" i="36"/>
  <c r="D30" i="36" s="1"/>
  <c r="D36" i="36" s="1"/>
  <c r="D38" i="36" s="1"/>
  <c r="E37" i="36" s="1"/>
  <c r="D11" i="36"/>
  <c r="D10" i="36" s="1"/>
  <c r="D16" i="36" s="1"/>
  <c r="D18" i="36" s="1"/>
  <c r="E17" i="36" s="1"/>
  <c r="I198" i="22"/>
  <c r="I245" i="22" s="1"/>
  <c r="I248" i="22" s="1"/>
  <c r="I249" i="22" s="1"/>
  <c r="J250" i="22" s="1"/>
  <c r="J267" i="22" s="1"/>
  <c r="D235" i="6"/>
  <c r="D240" i="6" s="1"/>
  <c r="E241" i="6" s="1"/>
  <c r="E258" i="6" s="1"/>
  <c r="D182" i="6"/>
  <c r="E183" i="6" s="1"/>
  <c r="E247" i="6" s="1"/>
  <c r="E249" i="6" s="1"/>
  <c r="L186" i="12"/>
  <c r="L240" i="12" s="1"/>
  <c r="L187" i="12"/>
  <c r="M188" i="12" s="1"/>
  <c r="M252" i="12" s="1"/>
  <c r="M254" i="12" s="1"/>
  <c r="L194" i="12"/>
  <c r="H16" i="7"/>
  <c r="H17" i="7" s="1"/>
  <c r="H74" i="7" s="1"/>
  <c r="H83" i="7" s="1"/>
  <c r="H85" i="7" s="1"/>
  <c r="E178" i="22"/>
  <c r="N250" i="33"/>
  <c r="P251" i="33" s="1"/>
  <c r="AA270" i="33" s="1"/>
  <c r="AA267" i="33" s="1"/>
  <c r="AA155" i="33"/>
  <c r="AA157" i="33" s="1"/>
  <c r="AA159" i="33" s="1"/>
  <c r="J179" i="33"/>
  <c r="I265" i="14"/>
  <c r="Z241" i="14" s="1"/>
  <c r="Z243" i="14" s="1"/>
  <c r="AD155" i="33"/>
  <c r="AD157" i="33" s="1"/>
  <c r="AD159" i="33" s="1"/>
  <c r="M179" i="33"/>
  <c r="U155" i="33"/>
  <c r="U157" i="33" s="1"/>
  <c r="U159" i="33" s="1"/>
  <c r="D179" i="33"/>
  <c r="F194" i="12"/>
  <c r="F186" i="12"/>
  <c r="F240" i="12" s="1"/>
  <c r="K199" i="33"/>
  <c r="K246" i="33" s="1"/>
  <c r="K249" i="33" s="1"/>
  <c r="K250" i="33" s="1"/>
  <c r="L251" i="33" s="1"/>
  <c r="L268" i="33" s="1"/>
  <c r="J199" i="33"/>
  <c r="J246" i="33" s="1"/>
  <c r="J249" i="33" s="1"/>
  <c r="J250" i="33" s="1"/>
  <c r="K251" i="33" s="1"/>
  <c r="K268" i="33" s="1"/>
  <c r="J200" i="33"/>
  <c r="J201" i="33" s="1"/>
  <c r="J260" i="33" s="1"/>
  <c r="V159" i="22"/>
  <c r="D193" i="41" l="1"/>
  <c r="D194" i="41" s="1"/>
  <c r="D252" i="41" s="1"/>
  <c r="G380" i="41"/>
  <c r="G381" i="41" s="1"/>
  <c r="G439" i="41" s="1"/>
  <c r="F193" i="41"/>
  <c r="F194" i="41" s="1"/>
  <c r="F252" i="41" s="1"/>
  <c r="F286" i="41"/>
  <c r="F287" i="41" s="1"/>
  <c r="F345" i="41" s="1"/>
  <c r="N380" i="41"/>
  <c r="N381" i="41" s="1"/>
  <c r="N439" i="41" s="1"/>
  <c r="N448" i="41" s="1"/>
  <c r="N450" i="41" s="1"/>
  <c r="G193" i="41"/>
  <c r="G194" i="41" s="1"/>
  <c r="G252" i="41" s="1"/>
  <c r="G261" i="41" s="1"/>
  <c r="G263" i="41" s="1"/>
  <c r="K380" i="41"/>
  <c r="K381" i="41" s="1"/>
  <c r="K439" i="41" s="1"/>
  <c r="K448" i="41" s="1"/>
  <c r="K450" i="41" s="1"/>
  <c r="M286" i="41"/>
  <c r="M287" i="41" s="1"/>
  <c r="M345" i="41" s="1"/>
  <c r="M354" i="41" s="1"/>
  <c r="M356" i="41" s="1"/>
  <c r="D380" i="41"/>
  <c r="D381" i="41" s="1"/>
  <c r="D439" i="41" s="1"/>
  <c r="J286" i="41"/>
  <c r="J287" i="41" s="1"/>
  <c r="J345" i="41" s="1"/>
  <c r="J354" i="41" s="1"/>
  <c r="J356" i="41" s="1"/>
  <c r="V399" i="41"/>
  <c r="V305" i="41"/>
  <c r="K354" i="41"/>
  <c r="K356" i="41" s="1"/>
  <c r="T184" i="41"/>
  <c r="T190" i="41" s="1"/>
  <c r="T191" i="41" s="1"/>
  <c r="T196" i="41" s="1"/>
  <c r="T198" i="41" s="1"/>
  <c r="X209" i="41" s="1"/>
  <c r="X205" i="41" s="1"/>
  <c r="X216" i="41" s="1"/>
  <c r="E380" i="41"/>
  <c r="E381" i="41" s="1"/>
  <c r="E439" i="41" s="1"/>
  <c r="E448" i="41" s="1"/>
  <c r="E450" i="41" s="1"/>
  <c r="E286" i="41"/>
  <c r="E287" i="41" s="1"/>
  <c r="E345" i="41" s="1"/>
  <c r="E354" i="41" s="1"/>
  <c r="E356" i="41" s="1"/>
  <c r="H380" i="41"/>
  <c r="H381" i="41" s="1"/>
  <c r="H439" i="41" s="1"/>
  <c r="H448" i="41" s="1"/>
  <c r="H450" i="41" s="1"/>
  <c r="I286" i="41"/>
  <c r="I287" i="41" s="1"/>
  <c r="I345" i="41" s="1"/>
  <c r="I354" i="41" s="1"/>
  <c r="I356" i="41" s="1"/>
  <c r="L286" i="41"/>
  <c r="L287" i="41" s="1"/>
  <c r="L345" i="41" s="1"/>
  <c r="L354" i="41" s="1"/>
  <c r="L356" i="41" s="1"/>
  <c r="D354" i="41"/>
  <c r="D356" i="41" s="1"/>
  <c r="D357" i="41" s="1"/>
  <c r="E355" i="41" s="1"/>
  <c r="I380" i="41"/>
  <c r="I381" i="41" s="1"/>
  <c r="I439" i="41" s="1"/>
  <c r="I448" i="41" s="1"/>
  <c r="I450" i="41" s="1"/>
  <c r="N286" i="41"/>
  <c r="N287" i="41" s="1"/>
  <c r="N345" i="41" s="1"/>
  <c r="N354" i="41" s="1"/>
  <c r="N356" i="41" s="1"/>
  <c r="C193" i="41"/>
  <c r="C194" i="41" s="1"/>
  <c r="C252" i="41" s="1"/>
  <c r="C261" i="41" s="1"/>
  <c r="C263" i="41" s="1"/>
  <c r="F380" i="41"/>
  <c r="F381" i="41" s="1"/>
  <c r="F439" i="41" s="1"/>
  <c r="F448" i="41" s="1"/>
  <c r="F450" i="41" s="1"/>
  <c r="G448" i="41"/>
  <c r="I429" i="41"/>
  <c r="J430" i="41" s="1"/>
  <c r="J447" i="41" s="1"/>
  <c r="J448" i="41" s="1"/>
  <c r="J450" i="41" s="1"/>
  <c r="L380" i="41"/>
  <c r="L381" i="41" s="1"/>
  <c r="L439" i="41" s="1"/>
  <c r="L448" i="41" s="1"/>
  <c r="L450" i="41" s="1"/>
  <c r="G450" i="41"/>
  <c r="H193" i="41"/>
  <c r="H194" i="41" s="1"/>
  <c r="H252" i="41" s="1"/>
  <c r="H261" i="41" s="1"/>
  <c r="H263" i="41" s="1"/>
  <c r="G286" i="41"/>
  <c r="G287" i="41" s="1"/>
  <c r="G345" i="41" s="1"/>
  <c r="G354" i="41" s="1"/>
  <c r="G356" i="41" s="1"/>
  <c r="F354" i="41"/>
  <c r="F356" i="41" s="1"/>
  <c r="M448" i="41"/>
  <c r="M450" i="41" s="1"/>
  <c r="D448" i="41"/>
  <c r="D450" i="41" s="1"/>
  <c r="I261" i="41"/>
  <c r="I263" i="41" s="1"/>
  <c r="D261" i="41"/>
  <c r="D263" i="41" s="1"/>
  <c r="C380" i="41"/>
  <c r="C381" i="41" s="1"/>
  <c r="C439" i="41" s="1"/>
  <c r="C448" i="41" s="1"/>
  <c r="C450" i="41" s="1"/>
  <c r="C451" i="41" s="1"/>
  <c r="D449" i="41" s="1"/>
  <c r="H286" i="41"/>
  <c r="H287" i="41" s="1"/>
  <c r="H345" i="41" s="1"/>
  <c r="H354" i="41" s="1"/>
  <c r="H356" i="41" s="1"/>
  <c r="F261" i="41"/>
  <c r="F263" i="41" s="1"/>
  <c r="E261" i="41"/>
  <c r="E263" i="41" s="1"/>
  <c r="K193" i="41"/>
  <c r="K194" i="41" s="1"/>
  <c r="K252" i="41" s="1"/>
  <c r="K261" i="41" s="1"/>
  <c r="K263" i="41" s="1"/>
  <c r="V213" i="41"/>
  <c r="J193" i="41"/>
  <c r="J194" i="41" s="1"/>
  <c r="J252" i="41" s="1"/>
  <c r="J261" i="41" s="1"/>
  <c r="J263" i="41" s="1"/>
  <c r="V123" i="41"/>
  <c r="T120" i="41"/>
  <c r="T125" i="41" s="1"/>
  <c r="V125" i="41" s="1"/>
  <c r="X126" i="41" s="1"/>
  <c r="N193" i="41"/>
  <c r="N194" i="41" s="1"/>
  <c r="N252" i="41" s="1"/>
  <c r="N261" i="41" s="1"/>
  <c r="N263" i="41" s="1"/>
  <c r="M193" i="41"/>
  <c r="M194" i="41" s="1"/>
  <c r="M252" i="41" s="1"/>
  <c r="M261" i="41" s="1"/>
  <c r="M263" i="41" s="1"/>
  <c r="L193" i="41"/>
  <c r="L194" i="41" s="1"/>
  <c r="L252" i="41" s="1"/>
  <c r="L261" i="41" s="1"/>
  <c r="L263" i="41" s="1"/>
  <c r="M192" i="24"/>
  <c r="M257" i="24" s="1"/>
  <c r="M259" i="24" s="1"/>
  <c r="V120" i="6"/>
  <c r="F261" i="6"/>
  <c r="T120" i="6"/>
  <c r="T125" i="6" s="1"/>
  <c r="V125" i="6" s="1"/>
  <c r="X126" i="6" s="1"/>
  <c r="D265" i="14"/>
  <c r="D267" i="14" s="1"/>
  <c r="L191" i="6"/>
  <c r="L192" i="6" s="1"/>
  <c r="L250" i="6" s="1"/>
  <c r="L259" i="6" s="1"/>
  <c r="L261" i="6" s="1"/>
  <c r="C197" i="14"/>
  <c r="C198" i="14" s="1"/>
  <c r="C256" i="14" s="1"/>
  <c r="C265" i="14" s="1"/>
  <c r="H265" i="14"/>
  <c r="H267" i="14" s="1"/>
  <c r="L265" i="14"/>
  <c r="AC241" i="14" s="1"/>
  <c r="AC243" i="14" s="1"/>
  <c r="AC245" i="14" s="1"/>
  <c r="C180" i="24"/>
  <c r="D178" i="24" s="1"/>
  <c r="D180" i="24" s="1"/>
  <c r="E178" i="24" s="1"/>
  <c r="E180" i="24" s="1"/>
  <c r="F178" i="24" s="1"/>
  <c r="F180" i="24" s="1"/>
  <c r="G178" i="24" s="1"/>
  <c r="G180" i="24" s="1"/>
  <c r="H178" i="24" s="1"/>
  <c r="H180" i="24" s="1"/>
  <c r="I178" i="24" s="1"/>
  <c r="I180" i="24" s="1"/>
  <c r="J178" i="24" s="1"/>
  <c r="J180" i="24" s="1"/>
  <c r="K178" i="24" s="1"/>
  <c r="K180" i="24" s="1"/>
  <c r="L178" i="24" s="1"/>
  <c r="L180" i="24" s="1"/>
  <c r="M178" i="24" s="1"/>
  <c r="M180" i="24" s="1"/>
  <c r="N178" i="24" s="1"/>
  <c r="N180" i="24" s="1"/>
  <c r="P180" i="24" s="1"/>
  <c r="K199" i="22"/>
  <c r="K200" i="22" s="1"/>
  <c r="K259" i="22" s="1"/>
  <c r="K268" i="22" s="1"/>
  <c r="AB250" i="22" s="1"/>
  <c r="AB252" i="22" s="1"/>
  <c r="F199" i="22"/>
  <c r="F200" i="22" s="1"/>
  <c r="F259" i="22" s="1"/>
  <c r="F268" i="22" s="1"/>
  <c r="W250" i="22" s="1"/>
  <c r="W252" i="22" s="1"/>
  <c r="H7" i="9"/>
  <c r="I8" i="9" s="1"/>
  <c r="I72" i="9" s="1"/>
  <c r="I74" i="9" s="1"/>
  <c r="AA252" i="14"/>
  <c r="AA263" i="14" s="1"/>
  <c r="K192" i="24"/>
  <c r="K257" i="24" s="1"/>
  <c r="K259" i="24" s="1"/>
  <c r="U155" i="32"/>
  <c r="V153" i="32" s="1"/>
  <c r="V155" i="32" s="1"/>
  <c r="W153" i="32" s="1"/>
  <c r="W155" i="32" s="1"/>
  <c r="X153" i="32" s="1"/>
  <c r="X155" i="32" s="1"/>
  <c r="Y153" i="32" s="1"/>
  <c r="Y155" i="32" s="1"/>
  <c r="Z153" i="32" s="1"/>
  <c r="Z155" i="32" s="1"/>
  <c r="AA153" i="32" s="1"/>
  <c r="AA155" i="32" s="1"/>
  <c r="AB153" i="32" s="1"/>
  <c r="AB155" i="32" s="1"/>
  <c r="AC153" i="32" s="1"/>
  <c r="AC155" i="32" s="1"/>
  <c r="AD153" i="32" s="1"/>
  <c r="AD155" i="32" s="1"/>
  <c r="AE153" i="32" s="1"/>
  <c r="AE155" i="32" s="1"/>
  <c r="G175" i="12"/>
  <c r="C262" i="6"/>
  <c r="D260" i="6" s="1"/>
  <c r="D262" i="6" s="1"/>
  <c r="E260" i="6" s="1"/>
  <c r="C175" i="12"/>
  <c r="C176" i="12" s="1"/>
  <c r="D174" i="12" s="1"/>
  <c r="M187" i="12"/>
  <c r="N188" i="12" s="1"/>
  <c r="N252" i="12" s="1"/>
  <c r="N254" i="12" s="1"/>
  <c r="G192" i="24"/>
  <c r="G257" i="24" s="1"/>
  <c r="G259" i="24" s="1"/>
  <c r="X245" i="24" s="1"/>
  <c r="X249" i="24" s="1"/>
  <c r="C177" i="32"/>
  <c r="D175" i="32" s="1"/>
  <c r="D177" i="32" s="1"/>
  <c r="E175" i="32" s="1"/>
  <c r="E177" i="32" s="1"/>
  <c r="F175" i="32" s="1"/>
  <c r="F177" i="32" s="1"/>
  <c r="G175" i="32" s="1"/>
  <c r="G177" i="32" s="1"/>
  <c r="H175" i="32" s="1"/>
  <c r="H177" i="32" s="1"/>
  <c r="I175" i="32" s="1"/>
  <c r="I177" i="32" s="1"/>
  <c r="J175" i="32" s="1"/>
  <c r="J177" i="32" s="1"/>
  <c r="K175" i="32" s="1"/>
  <c r="K177" i="32" s="1"/>
  <c r="L175" i="32" s="1"/>
  <c r="L177" i="32" s="1"/>
  <c r="M175" i="32" s="1"/>
  <c r="M177" i="32" s="1"/>
  <c r="N175" i="32" s="1"/>
  <c r="N177" i="32" s="1"/>
  <c r="P177" i="32" s="1"/>
  <c r="V149" i="12"/>
  <c r="V151" i="12" s="1"/>
  <c r="V153" i="12" s="1"/>
  <c r="E175" i="12"/>
  <c r="E86" i="7"/>
  <c r="F84" i="7" s="1"/>
  <c r="F86" i="7" s="1"/>
  <c r="G84" i="7" s="1"/>
  <c r="G86" i="7" s="1"/>
  <c r="H84" i="7" s="1"/>
  <c r="H86" i="7" s="1"/>
  <c r="I84" i="7" s="1"/>
  <c r="I86" i="7" s="1"/>
  <c r="J84" i="7" s="1"/>
  <c r="J86" i="7" s="1"/>
  <c r="K84" i="7" s="1"/>
  <c r="K86" i="7" s="1"/>
  <c r="L84" i="7" s="1"/>
  <c r="L86" i="7" s="1"/>
  <c r="M84" i="7" s="1"/>
  <c r="M86" i="7" s="1"/>
  <c r="N84" i="7" s="1"/>
  <c r="N86" i="7" s="1"/>
  <c r="P86" i="7" s="1"/>
  <c r="H197" i="32"/>
  <c r="H198" i="32" s="1"/>
  <c r="H256" i="32" s="1"/>
  <c r="H265" i="32" s="1"/>
  <c r="AA263" i="32"/>
  <c r="I192" i="24"/>
  <c r="I257" i="24" s="1"/>
  <c r="I259" i="24" s="1"/>
  <c r="Z245" i="24" s="1"/>
  <c r="Z249" i="24" s="1"/>
  <c r="C187" i="12"/>
  <c r="D188" i="12" s="1"/>
  <c r="D252" i="12" s="1"/>
  <c r="D254" i="12" s="1"/>
  <c r="C199" i="22"/>
  <c r="C200" i="22" s="1"/>
  <c r="C259" i="22" s="1"/>
  <c r="C268" i="22" s="1"/>
  <c r="T250" i="22" s="1"/>
  <c r="T252" i="22" s="1"/>
  <c r="T254" i="22" s="1"/>
  <c r="E7" i="9"/>
  <c r="F8" i="9" s="1"/>
  <c r="F72" i="9" s="1"/>
  <c r="F74" i="9" s="1"/>
  <c r="E200" i="33"/>
  <c r="E201" i="33" s="1"/>
  <c r="E260" i="33" s="1"/>
  <c r="E269" i="33" s="1"/>
  <c r="C197" i="32"/>
  <c r="C198" i="32" s="1"/>
  <c r="C256" i="32" s="1"/>
  <c r="C265" i="32" s="1"/>
  <c r="T241" i="32" s="1"/>
  <c r="T243" i="32" s="1"/>
  <c r="T245" i="32" s="1"/>
  <c r="J259" i="6"/>
  <c r="J261" i="6" s="1"/>
  <c r="K200" i="24"/>
  <c r="K201" i="24" s="1"/>
  <c r="K260" i="24" s="1"/>
  <c r="K269" i="24" s="1"/>
  <c r="AB250" i="24" s="1"/>
  <c r="AB252" i="24" s="1"/>
  <c r="L199" i="22"/>
  <c r="L200" i="22" s="1"/>
  <c r="L259" i="22" s="1"/>
  <c r="L268" i="22" s="1"/>
  <c r="N7" i="9"/>
  <c r="P8" i="9" s="1"/>
  <c r="G14" i="10" s="1"/>
  <c r="I14" i="10" s="1"/>
  <c r="C200" i="33"/>
  <c r="C201" i="33" s="1"/>
  <c r="C260" i="33" s="1"/>
  <c r="C269" i="33" s="1"/>
  <c r="C271" i="33" s="1"/>
  <c r="N192" i="24"/>
  <c r="N257" i="24" s="1"/>
  <c r="N259" i="24" s="1"/>
  <c r="AE245" i="24" s="1"/>
  <c r="AE249" i="24" s="1"/>
  <c r="E200" i="24"/>
  <c r="E201" i="24" s="1"/>
  <c r="E260" i="24" s="1"/>
  <c r="E269" i="24" s="1"/>
  <c r="V250" i="24" s="1"/>
  <c r="V252" i="24" s="1"/>
  <c r="V241" i="14"/>
  <c r="V243" i="14" s="1"/>
  <c r="E267" i="14"/>
  <c r="Z149" i="12"/>
  <c r="Z151" i="12" s="1"/>
  <c r="Z153" i="12" s="1"/>
  <c r="I175" i="12"/>
  <c r="U160" i="24"/>
  <c r="V158" i="24" s="1"/>
  <c r="V160" i="24" s="1"/>
  <c r="W158" i="24" s="1"/>
  <c r="W160" i="24" s="1"/>
  <c r="X158" i="24" s="1"/>
  <c r="X160" i="24" s="1"/>
  <c r="Y158" i="24" s="1"/>
  <c r="Y160" i="24" s="1"/>
  <c r="Z158" i="24" s="1"/>
  <c r="Z160" i="24" s="1"/>
  <c r="AA158" i="24" s="1"/>
  <c r="AA160" i="24" s="1"/>
  <c r="AB158" i="24" s="1"/>
  <c r="AB160" i="24" s="1"/>
  <c r="AC158" i="24" s="1"/>
  <c r="AC160" i="24" s="1"/>
  <c r="AD158" i="24" s="1"/>
  <c r="AD160" i="24" s="1"/>
  <c r="AE158" i="24" s="1"/>
  <c r="AE160" i="24" s="1"/>
  <c r="K267" i="14"/>
  <c r="AB245" i="14"/>
  <c r="L192" i="24"/>
  <c r="L257" i="24" s="1"/>
  <c r="L259" i="24" s="1"/>
  <c r="Z245" i="14"/>
  <c r="C175" i="14"/>
  <c r="C177" i="14" s="1"/>
  <c r="D175" i="14" s="1"/>
  <c r="D177" i="14" s="1"/>
  <c r="E175" i="14" s="1"/>
  <c r="E177" i="14" s="1"/>
  <c r="F175" i="14" s="1"/>
  <c r="F177" i="14" s="1"/>
  <c r="G175" i="14" s="1"/>
  <c r="G177" i="14" s="1"/>
  <c r="H175" i="14" s="1"/>
  <c r="H177" i="14" s="1"/>
  <c r="I175" i="14" s="1"/>
  <c r="I177" i="14" s="1"/>
  <c r="J175" i="14" s="1"/>
  <c r="J177" i="14" s="1"/>
  <c r="K175" i="14" s="1"/>
  <c r="K177" i="14" s="1"/>
  <c r="L175" i="14" s="1"/>
  <c r="L177" i="14" s="1"/>
  <c r="M175" i="14" s="1"/>
  <c r="M177" i="14" s="1"/>
  <c r="N175" i="14" s="1"/>
  <c r="N177" i="14" s="1"/>
  <c r="P177" i="14" s="1"/>
  <c r="F175" i="12"/>
  <c r="E199" i="22"/>
  <c r="E200" i="22" s="1"/>
  <c r="E259" i="22" s="1"/>
  <c r="E268" i="22" s="1"/>
  <c r="H199" i="22"/>
  <c r="H200" i="22" s="1"/>
  <c r="H259" i="22" s="1"/>
  <c r="H268" i="22" s="1"/>
  <c r="L29" i="13"/>
  <c r="P39" i="13" s="1"/>
  <c r="P41" i="13" s="1"/>
  <c r="I7" i="9"/>
  <c r="J8" i="9" s="1"/>
  <c r="J72" i="9" s="1"/>
  <c r="J74" i="9" s="1"/>
  <c r="M199" i="22"/>
  <c r="M200" i="22" s="1"/>
  <c r="M259" i="22" s="1"/>
  <c r="M268" i="22" s="1"/>
  <c r="M175" i="12"/>
  <c r="V245" i="14"/>
  <c r="U153" i="12"/>
  <c r="U154" i="12" s="1"/>
  <c r="V152" i="12" s="1"/>
  <c r="Y80" i="14"/>
  <c r="Y82" i="14" s="1"/>
  <c r="AA83" i="14" s="1"/>
  <c r="W153" i="12"/>
  <c r="T160" i="22"/>
  <c r="U158" i="22" s="1"/>
  <c r="U160" i="22" s="1"/>
  <c r="V158" i="22" s="1"/>
  <c r="V160" i="22" s="1"/>
  <c r="W158" i="22" s="1"/>
  <c r="W160" i="22" s="1"/>
  <c r="X158" i="22" s="1"/>
  <c r="X160" i="22" s="1"/>
  <c r="Y158" i="22" s="1"/>
  <c r="Y160" i="22" s="1"/>
  <c r="Z158" i="22" s="1"/>
  <c r="Z160" i="22" s="1"/>
  <c r="AA158" i="22" s="1"/>
  <c r="AA160" i="22" s="1"/>
  <c r="AB158" i="22" s="1"/>
  <c r="AB160" i="22" s="1"/>
  <c r="AC158" i="22" s="1"/>
  <c r="AC160" i="22" s="1"/>
  <c r="AD158" i="22" s="1"/>
  <c r="AD160" i="22" s="1"/>
  <c r="AE158" i="22" s="1"/>
  <c r="AE160" i="22" s="1"/>
  <c r="AD153" i="12"/>
  <c r="I267" i="14"/>
  <c r="L200" i="24"/>
  <c r="L201" i="24" s="1"/>
  <c r="L260" i="24" s="1"/>
  <c r="L269" i="24" s="1"/>
  <c r="AC250" i="24" s="1"/>
  <c r="AC252" i="24" s="1"/>
  <c r="D175" i="12"/>
  <c r="K200" i="33"/>
  <c r="K201" i="33" s="1"/>
  <c r="K260" i="33" s="1"/>
  <c r="K269" i="33" s="1"/>
  <c r="AB250" i="33" s="1"/>
  <c r="AB252" i="33" s="1"/>
  <c r="J200" i="24"/>
  <c r="J201" i="24" s="1"/>
  <c r="J260" i="24" s="1"/>
  <c r="J269" i="24" s="1"/>
  <c r="AA250" i="24" s="1"/>
  <c r="AA252" i="24" s="1"/>
  <c r="N200" i="33"/>
  <c r="N201" i="33" s="1"/>
  <c r="N260" i="33" s="1"/>
  <c r="N269" i="33" s="1"/>
  <c r="AE250" i="33" s="1"/>
  <c r="AE252" i="33" s="1"/>
  <c r="J175" i="12"/>
  <c r="AA153" i="12"/>
  <c r="F192" i="24"/>
  <c r="F257" i="24" s="1"/>
  <c r="F259" i="24" s="1"/>
  <c r="W245" i="24" s="1"/>
  <c r="W249" i="24" s="1"/>
  <c r="K187" i="12"/>
  <c r="L188" i="12" s="1"/>
  <c r="L252" i="12" s="1"/>
  <c r="L254" i="12" s="1"/>
  <c r="K7" i="9"/>
  <c r="L8" i="9" s="1"/>
  <c r="L72" i="9" s="1"/>
  <c r="L74" i="9" s="1"/>
  <c r="AA272" i="24"/>
  <c r="L200" i="33"/>
  <c r="L201" i="33" s="1"/>
  <c r="L260" i="33" s="1"/>
  <c r="L269" i="33" s="1"/>
  <c r="N199" i="22"/>
  <c r="N200" i="22" s="1"/>
  <c r="N259" i="22" s="1"/>
  <c r="N268" i="22" s="1"/>
  <c r="AE250" i="22" s="1"/>
  <c r="AE252" i="22" s="1"/>
  <c r="C200" i="24"/>
  <c r="C201" i="24" s="1"/>
  <c r="C260" i="24" s="1"/>
  <c r="C269" i="24" s="1"/>
  <c r="T250" i="24" s="1"/>
  <c r="T252" i="24" s="1"/>
  <c r="D7" i="9"/>
  <c r="E8" i="9" s="1"/>
  <c r="E72" i="9" s="1"/>
  <c r="E74" i="9" s="1"/>
  <c r="AB149" i="12"/>
  <c r="AB151" i="12" s="1"/>
  <c r="AB153" i="12" s="1"/>
  <c r="K175" i="12"/>
  <c r="AA272" i="22"/>
  <c r="M197" i="32"/>
  <c r="M198" i="32" s="1"/>
  <c r="M256" i="32" s="1"/>
  <c r="M265" i="32" s="1"/>
  <c r="E259" i="6"/>
  <c r="E261" i="6" s="1"/>
  <c r="F187" i="12"/>
  <c r="G188" i="12" s="1"/>
  <c r="G252" i="12" s="1"/>
  <c r="G254" i="12" s="1"/>
  <c r="N15" i="9"/>
  <c r="N61" i="9" s="1"/>
  <c r="N64" i="9" s="1"/>
  <c r="N65" i="9" s="1"/>
  <c r="P66" i="9" s="1"/>
  <c r="K15" i="10" s="1"/>
  <c r="K12" i="10" s="1"/>
  <c r="N16" i="9"/>
  <c r="N17" i="9" s="1"/>
  <c r="N75" i="9" s="1"/>
  <c r="T244" i="14"/>
  <c r="W170" i="14"/>
  <c r="X153" i="12"/>
  <c r="J15" i="9"/>
  <c r="J61" i="9" s="1"/>
  <c r="J64" i="9" s="1"/>
  <c r="J65" i="9" s="1"/>
  <c r="K66" i="9" s="1"/>
  <c r="K83" i="9" s="1"/>
  <c r="AE241" i="14"/>
  <c r="AE243" i="14" s="1"/>
  <c r="AE245" i="14" s="1"/>
  <c r="N267" i="14"/>
  <c r="N39" i="13"/>
  <c r="N41" i="13" s="1"/>
  <c r="I187" i="12"/>
  <c r="J188" i="12" s="1"/>
  <c r="J252" i="12" s="1"/>
  <c r="J254" i="12" s="1"/>
  <c r="W245" i="22"/>
  <c r="W249" i="22" s="1"/>
  <c r="T241" i="14"/>
  <c r="T243" i="14" s="1"/>
  <c r="T245" i="14" s="1"/>
  <c r="C267" i="14"/>
  <c r="F195" i="12"/>
  <c r="F241" i="12" s="1"/>
  <c r="F244" i="12" s="1"/>
  <c r="F245" i="12" s="1"/>
  <c r="G246" i="12" s="1"/>
  <c r="G263" i="12" s="1"/>
  <c r="D197" i="32"/>
  <c r="D198" i="32" s="1"/>
  <c r="D256" i="32" s="1"/>
  <c r="D265" i="32" s="1"/>
  <c r="AA245" i="22"/>
  <c r="AA249" i="22" s="1"/>
  <c r="J7" i="9"/>
  <c r="K8" i="9" s="1"/>
  <c r="K72" i="9" s="1"/>
  <c r="K74" i="9" s="1"/>
  <c r="M7" i="9"/>
  <c r="N8" i="9" s="1"/>
  <c r="N72" i="9" s="1"/>
  <c r="N74" i="9" s="1"/>
  <c r="L29" i="36"/>
  <c r="X241" i="14"/>
  <c r="X243" i="14" s="1"/>
  <c r="X245" i="14" s="1"/>
  <c r="G267" i="14"/>
  <c r="G200" i="24"/>
  <c r="G201" i="24" s="1"/>
  <c r="G260" i="24" s="1"/>
  <c r="G269" i="24" s="1"/>
  <c r="X250" i="24" s="1"/>
  <c r="X252" i="24" s="1"/>
  <c r="D200" i="33"/>
  <c r="D201" i="33" s="1"/>
  <c r="D260" i="33" s="1"/>
  <c r="D269" i="33" s="1"/>
  <c r="U250" i="33" s="1"/>
  <c r="U252" i="33" s="1"/>
  <c r="I15" i="9"/>
  <c r="I61" i="9" s="1"/>
  <c r="I64" i="9" s="1"/>
  <c r="I65" i="9" s="1"/>
  <c r="J66" i="9" s="1"/>
  <c r="J83" i="9" s="1"/>
  <c r="AD245" i="24"/>
  <c r="AD249" i="24" s="1"/>
  <c r="G195" i="12"/>
  <c r="G241" i="12" s="1"/>
  <c r="G244" i="12" s="1"/>
  <c r="G245" i="12" s="1"/>
  <c r="H246" i="12" s="1"/>
  <c r="H263" i="12" s="1"/>
  <c r="E192" i="24"/>
  <c r="E257" i="24" s="1"/>
  <c r="E259" i="24" s="1"/>
  <c r="Z236" i="32"/>
  <c r="Z240" i="32" s="1"/>
  <c r="AD245" i="33"/>
  <c r="AD249" i="33" s="1"/>
  <c r="L195" i="12"/>
  <c r="L241" i="12" s="1"/>
  <c r="L244" i="12" s="1"/>
  <c r="L245" i="12" s="1"/>
  <c r="M246" i="12" s="1"/>
  <c r="M263" i="12" s="1"/>
  <c r="E15" i="9"/>
  <c r="E61" i="9" s="1"/>
  <c r="E64" i="9" s="1"/>
  <c r="E65" i="9" s="1"/>
  <c r="F66" i="9" s="1"/>
  <c r="F83" i="9" s="1"/>
  <c r="U241" i="14"/>
  <c r="U243" i="14" s="1"/>
  <c r="U245" i="14" s="1"/>
  <c r="K15" i="9"/>
  <c r="K61" i="9" s="1"/>
  <c r="K64" i="9" s="1"/>
  <c r="K65" i="9" s="1"/>
  <c r="L66" i="9" s="1"/>
  <c r="L83" i="9" s="1"/>
  <c r="E197" i="32"/>
  <c r="E198" i="32" s="1"/>
  <c r="E256" i="32" s="1"/>
  <c r="E265" i="32" s="1"/>
  <c r="V241" i="32" s="1"/>
  <c r="V243" i="32" s="1"/>
  <c r="AE245" i="22"/>
  <c r="AE249" i="22" s="1"/>
  <c r="J195" i="12"/>
  <c r="J241" i="12" s="1"/>
  <c r="J244" i="12" s="1"/>
  <c r="J245" i="12" s="1"/>
  <c r="K246" i="12" s="1"/>
  <c r="K263" i="12" s="1"/>
  <c r="L197" i="32"/>
  <c r="L198" i="32" s="1"/>
  <c r="L256" i="32" s="1"/>
  <c r="L265" i="32" s="1"/>
  <c r="L175" i="12"/>
  <c r="G200" i="33"/>
  <c r="G201" i="33" s="1"/>
  <c r="G260" i="33" s="1"/>
  <c r="G269" i="33" s="1"/>
  <c r="N175" i="12"/>
  <c r="N195" i="12"/>
  <c r="N241" i="12" s="1"/>
  <c r="N244" i="12" s="1"/>
  <c r="N245" i="12" s="1"/>
  <c r="P246" i="12" s="1"/>
  <c r="AA260" i="12" s="1"/>
  <c r="AA257" i="12" s="1"/>
  <c r="D195" i="12"/>
  <c r="D241" i="12" s="1"/>
  <c r="D244" i="12" s="1"/>
  <c r="D245" i="12" s="1"/>
  <c r="E246" i="12" s="1"/>
  <c r="E263" i="12" s="1"/>
  <c r="AB245" i="22"/>
  <c r="AB249" i="22" s="1"/>
  <c r="M200" i="33"/>
  <c r="M201" i="33" s="1"/>
  <c r="M260" i="33" s="1"/>
  <c r="M269" i="33" s="1"/>
  <c r="AD250" i="33" s="1"/>
  <c r="AD252" i="33" s="1"/>
  <c r="G199" i="22"/>
  <c r="G200" i="22" s="1"/>
  <c r="G259" i="22" s="1"/>
  <c r="G268" i="22" s="1"/>
  <c r="X250" i="22" s="1"/>
  <c r="X252" i="22" s="1"/>
  <c r="H200" i="33"/>
  <c r="H201" i="33" s="1"/>
  <c r="H260" i="33" s="1"/>
  <c r="H269" i="33" s="1"/>
  <c r="AE245" i="33"/>
  <c r="AE249" i="33" s="1"/>
  <c r="AD245" i="22"/>
  <c r="AD249" i="22" s="1"/>
  <c r="E44" i="13"/>
  <c r="E42" i="13" s="1"/>
  <c r="E7" i="13"/>
  <c r="E5" i="13" s="1"/>
  <c r="E25" i="13"/>
  <c r="E23" i="13" s="1"/>
  <c r="G187" i="12"/>
  <c r="H188" i="12" s="1"/>
  <c r="H252" i="12" s="1"/>
  <c r="H254" i="12" s="1"/>
  <c r="M15" i="9"/>
  <c r="M61" i="9" s="1"/>
  <c r="M64" i="9" s="1"/>
  <c r="M65" i="9" s="1"/>
  <c r="N66" i="9" s="1"/>
  <c r="N83" i="9" s="1"/>
  <c r="M16" i="9"/>
  <c r="M17" i="9" s="1"/>
  <c r="M75" i="9" s="1"/>
  <c r="V236" i="32"/>
  <c r="V240" i="32" s="1"/>
  <c r="F197" i="32"/>
  <c r="F198" i="32" s="1"/>
  <c r="F256" i="32" s="1"/>
  <c r="F265" i="32" s="1"/>
  <c r="AD241" i="14"/>
  <c r="AD243" i="14" s="1"/>
  <c r="AD245" i="14" s="1"/>
  <c r="M267" i="14"/>
  <c r="I269" i="24"/>
  <c r="Z250" i="24" s="1"/>
  <c r="Z252" i="24" s="1"/>
  <c r="J187" i="12"/>
  <c r="K188" i="12" s="1"/>
  <c r="K252" i="12" s="1"/>
  <c r="K254" i="12" s="1"/>
  <c r="AA245" i="33"/>
  <c r="AA249" i="33" s="1"/>
  <c r="M195" i="12"/>
  <c r="M241" i="12" s="1"/>
  <c r="M244" i="12" s="1"/>
  <c r="M245" i="12" s="1"/>
  <c r="N246" i="12" s="1"/>
  <c r="N263" i="12" s="1"/>
  <c r="I197" i="32"/>
  <c r="I198" i="32" s="1"/>
  <c r="I256" i="32" s="1"/>
  <c r="I265" i="32" s="1"/>
  <c r="Z241" i="32" s="1"/>
  <c r="Z243" i="32" s="1"/>
  <c r="I195" i="12"/>
  <c r="I241" i="12" s="1"/>
  <c r="I244" i="12" s="1"/>
  <c r="I245" i="12" s="1"/>
  <c r="J246" i="12" s="1"/>
  <c r="J263" i="12" s="1"/>
  <c r="J197" i="32"/>
  <c r="J198" i="32" s="1"/>
  <c r="J256" i="32" s="1"/>
  <c r="J265" i="32" s="1"/>
  <c r="AA241" i="32" s="1"/>
  <c r="AA243" i="32" s="1"/>
  <c r="AB245" i="33"/>
  <c r="AB249" i="33" s="1"/>
  <c r="K5" i="8"/>
  <c r="K9" i="10"/>
  <c r="AE153" i="12"/>
  <c r="N187" i="12"/>
  <c r="P188" i="12" s="1"/>
  <c r="W259" i="12" s="1"/>
  <c r="AC153" i="12"/>
  <c r="J192" i="24"/>
  <c r="J257" i="24" s="1"/>
  <c r="J259" i="24" s="1"/>
  <c r="P194" i="12"/>
  <c r="T253" i="12" s="1"/>
  <c r="T259" i="12" s="1"/>
  <c r="T260" i="12" s="1"/>
  <c r="T265" i="12" s="1"/>
  <c r="T267" i="12" s="1"/>
  <c r="AA255" i="12" s="1"/>
  <c r="AA251" i="12" s="1"/>
  <c r="C195" i="12"/>
  <c r="C241" i="12" s="1"/>
  <c r="C244" i="12" s="1"/>
  <c r="C245" i="12" s="1"/>
  <c r="D246" i="12" s="1"/>
  <c r="D263" i="12" s="1"/>
  <c r="I199" i="22"/>
  <c r="I200" i="22" s="1"/>
  <c r="I259" i="22" s="1"/>
  <c r="I268" i="22" s="1"/>
  <c r="N200" i="24"/>
  <c r="N201" i="24" s="1"/>
  <c r="N260" i="24" s="1"/>
  <c r="N269" i="24" s="1"/>
  <c r="AE250" i="24" s="1"/>
  <c r="AE252" i="24" s="1"/>
  <c r="D199" i="22"/>
  <c r="D200" i="22" s="1"/>
  <c r="D259" i="22" s="1"/>
  <c r="D268" i="22" s="1"/>
  <c r="M200" i="24"/>
  <c r="M201" i="24" s="1"/>
  <c r="M260" i="24" s="1"/>
  <c r="M269" i="24" s="1"/>
  <c r="AD250" i="24" s="1"/>
  <c r="AD252" i="24" s="1"/>
  <c r="L7" i="9"/>
  <c r="M8" i="9" s="1"/>
  <c r="M72" i="9" s="1"/>
  <c r="M74" i="9" s="1"/>
  <c r="Y269" i="33"/>
  <c r="T160" i="33"/>
  <c r="U158" i="33" s="1"/>
  <c r="U160" i="33" s="1"/>
  <c r="V158" i="33" s="1"/>
  <c r="V160" i="33" s="1"/>
  <c r="W158" i="33" s="1"/>
  <c r="W160" i="33" s="1"/>
  <c r="X158" i="33" s="1"/>
  <c r="X160" i="33" s="1"/>
  <c r="Y158" i="33" s="1"/>
  <c r="Y160" i="33" s="1"/>
  <c r="Z158" i="33" s="1"/>
  <c r="Z160" i="33" s="1"/>
  <c r="AA158" i="33" s="1"/>
  <c r="AA160" i="33" s="1"/>
  <c r="AB158" i="33" s="1"/>
  <c r="AB160" i="33" s="1"/>
  <c r="AC158" i="33" s="1"/>
  <c r="AC160" i="33" s="1"/>
  <c r="AD158" i="33" s="1"/>
  <c r="AD160" i="33" s="1"/>
  <c r="AE158" i="33" s="1"/>
  <c r="AE160" i="33" s="1"/>
  <c r="J199" i="22"/>
  <c r="J200" i="22" s="1"/>
  <c r="J259" i="22" s="1"/>
  <c r="J268" i="22" s="1"/>
  <c r="AA250" i="22" s="1"/>
  <c r="AA252" i="22" s="1"/>
  <c r="AA236" i="32"/>
  <c r="AA240" i="32" s="1"/>
  <c r="T253" i="26"/>
  <c r="T255" i="26" s="1"/>
  <c r="U253" i="26" s="1"/>
  <c r="U255" i="26" s="1"/>
  <c r="V253" i="26" s="1"/>
  <c r="V255" i="26" s="1"/>
  <c r="W253" i="26" s="1"/>
  <c r="W255" i="26" s="1"/>
  <c r="X253" i="26" s="1"/>
  <c r="X255" i="26" s="1"/>
  <c r="Y253" i="26" s="1"/>
  <c r="Y255" i="26" s="1"/>
  <c r="Z253" i="26" s="1"/>
  <c r="Z255" i="26" s="1"/>
  <c r="AA253" i="26" s="1"/>
  <c r="AA255" i="26" s="1"/>
  <c r="AB253" i="26" s="1"/>
  <c r="AB255" i="26" s="1"/>
  <c r="AC253" i="26" s="1"/>
  <c r="AC255" i="26" s="1"/>
  <c r="AD253" i="26" s="1"/>
  <c r="AD255" i="26" s="1"/>
  <c r="AE253" i="26" s="1"/>
  <c r="AE255" i="26" s="1"/>
  <c r="W270" i="26" s="1"/>
  <c r="W175" i="26"/>
  <c r="Y82" i="22"/>
  <c r="Y84" i="22" s="1"/>
  <c r="AA85" i="22" s="1"/>
  <c r="C177" i="22"/>
  <c r="C179" i="22" s="1"/>
  <c r="D177" i="22" s="1"/>
  <c r="D179" i="22" s="1"/>
  <c r="E177" i="22" s="1"/>
  <c r="E179" i="22" s="1"/>
  <c r="F177" i="22" s="1"/>
  <c r="F179" i="22" s="1"/>
  <c r="G177" i="22" s="1"/>
  <c r="G179" i="22" s="1"/>
  <c r="H177" i="22" s="1"/>
  <c r="H179" i="22" s="1"/>
  <c r="I177" i="22" s="1"/>
  <c r="I179" i="22" s="1"/>
  <c r="J177" i="22" s="1"/>
  <c r="J179" i="22" s="1"/>
  <c r="K177" i="22" s="1"/>
  <c r="K179" i="22" s="1"/>
  <c r="L177" i="22" s="1"/>
  <c r="L179" i="22" s="1"/>
  <c r="M177" i="22" s="1"/>
  <c r="M179" i="22" s="1"/>
  <c r="N177" i="22" s="1"/>
  <c r="N179" i="22" s="1"/>
  <c r="P179" i="22" s="1"/>
  <c r="W84" i="22"/>
  <c r="X236" i="32"/>
  <c r="X240" i="32" s="1"/>
  <c r="Q10" i="13"/>
  <c r="P11" i="13"/>
  <c r="Q11" i="13" s="1"/>
  <c r="AB245" i="24"/>
  <c r="AB249" i="24" s="1"/>
  <c r="AA241" i="14"/>
  <c r="AA243" i="14" s="1"/>
  <c r="AA245" i="14" s="1"/>
  <c r="J267" i="14"/>
  <c r="H200" i="24"/>
  <c r="H201" i="24" s="1"/>
  <c r="H260" i="24" s="1"/>
  <c r="H269" i="24" s="1"/>
  <c r="Y250" i="24" s="1"/>
  <c r="Y252" i="24" s="1"/>
  <c r="H187" i="12"/>
  <c r="I188" i="12" s="1"/>
  <c r="I252" i="12" s="1"/>
  <c r="I254" i="12" s="1"/>
  <c r="G7" i="9"/>
  <c r="H8" i="9" s="1"/>
  <c r="H72" i="9" s="1"/>
  <c r="H74" i="9" s="1"/>
  <c r="L15" i="9"/>
  <c r="L61" i="9" s="1"/>
  <c r="L64" i="9" s="1"/>
  <c r="L65" i="9" s="1"/>
  <c r="M66" i="9" s="1"/>
  <c r="M83" i="9" s="1"/>
  <c r="F7" i="9"/>
  <c r="G8" i="9" s="1"/>
  <c r="G72" i="9" s="1"/>
  <c r="G74" i="9" s="1"/>
  <c r="D15" i="9"/>
  <c r="D61" i="9" s="1"/>
  <c r="D64" i="9" s="1"/>
  <c r="D65" i="9" s="1"/>
  <c r="E66" i="9" s="1"/>
  <c r="E83" i="9" s="1"/>
  <c r="C7" i="9"/>
  <c r="D8" i="9" s="1"/>
  <c r="D72" i="9" s="1"/>
  <c r="D74" i="9" s="1"/>
  <c r="I200" i="33"/>
  <c r="I201" i="33" s="1"/>
  <c r="I260" i="33" s="1"/>
  <c r="I269" i="33" s="1"/>
  <c r="D200" i="24"/>
  <c r="D201" i="24" s="1"/>
  <c r="D260" i="24" s="1"/>
  <c r="D269" i="24" s="1"/>
  <c r="U250" i="24" s="1"/>
  <c r="U252" i="24" s="1"/>
  <c r="H195" i="12"/>
  <c r="H241" i="12" s="1"/>
  <c r="H244" i="12" s="1"/>
  <c r="H245" i="12" s="1"/>
  <c r="I246" i="12" s="1"/>
  <c r="I263" i="12" s="1"/>
  <c r="H196" i="12"/>
  <c r="H197" i="12" s="1"/>
  <c r="H255" i="12" s="1"/>
  <c r="G15" i="9"/>
  <c r="G61" i="9" s="1"/>
  <c r="G64" i="9" s="1"/>
  <c r="G65" i="9" s="1"/>
  <c r="H66" i="9" s="1"/>
  <c r="H83" i="9" s="1"/>
  <c r="K195" i="12"/>
  <c r="K241" i="12" s="1"/>
  <c r="K244" i="12" s="1"/>
  <c r="K245" i="12" s="1"/>
  <c r="L246" i="12" s="1"/>
  <c r="L263" i="12" s="1"/>
  <c r="K196" i="12"/>
  <c r="K197" i="12" s="1"/>
  <c r="K255" i="12" s="1"/>
  <c r="N197" i="32"/>
  <c r="N198" i="32" s="1"/>
  <c r="N256" i="32" s="1"/>
  <c r="N265" i="32" s="1"/>
  <c r="F15" i="9"/>
  <c r="F61" i="9" s="1"/>
  <c r="F64" i="9" s="1"/>
  <c r="F65" i="9" s="1"/>
  <c r="G66" i="9" s="1"/>
  <c r="G83" i="9" s="1"/>
  <c r="H15" i="9"/>
  <c r="H61" i="9" s="1"/>
  <c r="H64" i="9" s="1"/>
  <c r="H65" i="9" s="1"/>
  <c r="I66" i="9" s="1"/>
  <c r="I83" i="9" s="1"/>
  <c r="P14" i="9"/>
  <c r="C8" i="10" s="1"/>
  <c r="C14" i="10" s="1"/>
  <c r="C15" i="10" s="1"/>
  <c r="C20" i="10" s="1"/>
  <c r="C22" i="10" s="1"/>
  <c r="K10" i="10" s="1"/>
  <c r="C15" i="9"/>
  <c r="C61" i="9" s="1"/>
  <c r="C64" i="9" s="1"/>
  <c r="C65" i="9" s="1"/>
  <c r="D66" i="9" s="1"/>
  <c r="D83" i="9" s="1"/>
  <c r="C16" i="9"/>
  <c r="C17" i="9" s="1"/>
  <c r="C75" i="9" s="1"/>
  <c r="K197" i="32"/>
  <c r="K198" i="32" s="1"/>
  <c r="K256" i="32" s="1"/>
  <c r="K265" i="32" s="1"/>
  <c r="Y82" i="33"/>
  <c r="Y84" i="33" s="1"/>
  <c r="AA85" i="33" s="1"/>
  <c r="C178" i="33"/>
  <c r="C180" i="33" s="1"/>
  <c r="D178" i="33" s="1"/>
  <c r="D180" i="33" s="1"/>
  <c r="E178" i="33" s="1"/>
  <c r="E180" i="33" s="1"/>
  <c r="F178" i="33" s="1"/>
  <c r="F180" i="33" s="1"/>
  <c r="G178" i="33" s="1"/>
  <c r="G180" i="33" s="1"/>
  <c r="H178" i="33" s="1"/>
  <c r="H180" i="33" s="1"/>
  <c r="I178" i="33" s="1"/>
  <c r="I180" i="33" s="1"/>
  <c r="J178" i="33" s="1"/>
  <c r="J180" i="33" s="1"/>
  <c r="K178" i="33" s="1"/>
  <c r="K180" i="33" s="1"/>
  <c r="L178" i="33" s="1"/>
  <c r="L180" i="33" s="1"/>
  <c r="M178" i="33" s="1"/>
  <c r="M180" i="33" s="1"/>
  <c r="N178" i="33" s="1"/>
  <c r="N180" i="33" s="1"/>
  <c r="P180" i="33" s="1"/>
  <c r="W84" i="33"/>
  <c r="J269" i="33"/>
  <c r="AA250" i="33" s="1"/>
  <c r="AA252" i="33" s="1"/>
  <c r="AA272" i="33"/>
  <c r="Y78" i="12"/>
  <c r="Y75" i="12" s="1"/>
  <c r="W75" i="12"/>
  <c r="W80" i="12" s="1"/>
  <c r="Y80" i="12" s="1"/>
  <c r="AA81" i="12" s="1"/>
  <c r="C66" i="9"/>
  <c r="C83" i="9" s="1"/>
  <c r="K14" i="8"/>
  <c r="K11" i="8" s="1"/>
  <c r="G265" i="32"/>
  <c r="X241" i="32" s="1"/>
  <c r="X243" i="32" s="1"/>
  <c r="W241" i="14"/>
  <c r="W243" i="14" s="1"/>
  <c r="W245" i="14" s="1"/>
  <c r="F267" i="14"/>
  <c r="E195" i="12"/>
  <c r="E241" i="12" s="1"/>
  <c r="E244" i="12" s="1"/>
  <c r="E245" i="12" s="1"/>
  <c r="F246" i="12" s="1"/>
  <c r="F263" i="12" s="1"/>
  <c r="D192" i="24"/>
  <c r="D257" i="24" s="1"/>
  <c r="D259" i="24" s="1"/>
  <c r="C192" i="24"/>
  <c r="C257" i="24" s="1"/>
  <c r="C259" i="24" s="1"/>
  <c r="X245" i="22"/>
  <c r="X249" i="22" s="1"/>
  <c r="U245" i="33"/>
  <c r="U249" i="33" s="1"/>
  <c r="H192" i="24"/>
  <c r="H257" i="24" s="1"/>
  <c r="H259" i="24" s="1"/>
  <c r="F200" i="33"/>
  <c r="F201" i="33" s="1"/>
  <c r="F260" i="33" s="1"/>
  <c r="F269" i="33" s="1"/>
  <c r="Y269" i="22"/>
  <c r="F200" i="24"/>
  <c r="F201" i="24" s="1"/>
  <c r="F260" i="24" s="1"/>
  <c r="F269" i="24" s="1"/>
  <c r="W250" i="24" s="1"/>
  <c r="W252" i="24" s="1"/>
  <c r="E187" i="12"/>
  <c r="F188" i="12" s="1"/>
  <c r="F252" i="12" s="1"/>
  <c r="F254" i="12" s="1"/>
  <c r="E357" i="41" l="1"/>
  <c r="F355" i="41" s="1"/>
  <c r="F357" i="41" s="1"/>
  <c r="G355" i="41" s="1"/>
  <c r="G357" i="41" s="1"/>
  <c r="H355" i="41" s="1"/>
  <c r="H357" i="41"/>
  <c r="I355" i="41" s="1"/>
  <c r="I357" i="41" s="1"/>
  <c r="J355" i="41" s="1"/>
  <c r="J357" i="41" s="1"/>
  <c r="K355" i="41" s="1"/>
  <c r="K357" i="41" s="1"/>
  <c r="L355" i="41" s="1"/>
  <c r="L357" i="41" s="1"/>
  <c r="M355" i="41" s="1"/>
  <c r="M357" i="41" s="1"/>
  <c r="N355" i="41" s="1"/>
  <c r="D451" i="41"/>
  <c r="E449" i="41" s="1"/>
  <c r="E451" i="41" s="1"/>
  <c r="F449" i="41" s="1"/>
  <c r="F451" i="41" s="1"/>
  <c r="G449" i="41" s="1"/>
  <c r="G451" i="41" s="1"/>
  <c r="H449" i="41" s="1"/>
  <c r="H451" i="41" s="1"/>
  <c r="I449" i="41" s="1"/>
  <c r="I451" i="41" s="1"/>
  <c r="J449" i="41" s="1"/>
  <c r="J451" i="41" s="1"/>
  <c r="K449" i="41" s="1"/>
  <c r="K451" i="41" s="1"/>
  <c r="L449" i="41" s="1"/>
  <c r="L451" i="41" s="1"/>
  <c r="M449" i="41" s="1"/>
  <c r="M451" i="41" s="1"/>
  <c r="N449" i="41" s="1"/>
  <c r="C262" i="41"/>
  <c r="C264" i="41" s="1"/>
  <c r="D262" i="41" s="1"/>
  <c r="D264" i="41" s="1"/>
  <c r="E262" i="41" s="1"/>
  <c r="E264" i="41" s="1"/>
  <c r="F262" i="41" s="1"/>
  <c r="F264" i="41" s="1"/>
  <c r="G262" i="41" s="1"/>
  <c r="G264" i="41" s="1"/>
  <c r="H262" i="41" s="1"/>
  <c r="H264" i="41" s="1"/>
  <c r="I262" i="41" s="1"/>
  <c r="I264" i="41" s="1"/>
  <c r="J262" i="41" s="1"/>
  <c r="J264" i="41" s="1"/>
  <c r="K262" i="41" s="1"/>
  <c r="K264" i="41" s="1"/>
  <c r="L262" i="41" s="1"/>
  <c r="L264" i="41" s="1"/>
  <c r="M262" i="41" s="1"/>
  <c r="M264" i="41" s="1"/>
  <c r="N262" i="41" s="1"/>
  <c r="N264" i="41" s="1"/>
  <c r="P264" i="41" s="1"/>
  <c r="T214" i="41" s="1"/>
  <c r="V120" i="41"/>
  <c r="K270" i="22"/>
  <c r="AB254" i="22"/>
  <c r="Y241" i="14"/>
  <c r="Y243" i="14" s="1"/>
  <c r="Y245" i="14" s="1"/>
  <c r="L267" i="14"/>
  <c r="T250" i="33"/>
  <c r="T252" i="33" s="1"/>
  <c r="T254" i="33" s="1"/>
  <c r="M271" i="24"/>
  <c r="AD254" i="24"/>
  <c r="C84" i="9"/>
  <c r="C86" i="9" s="1"/>
  <c r="O39" i="13"/>
  <c r="O41" i="13" s="1"/>
  <c r="O43" i="13" s="1"/>
  <c r="O44" i="13" s="1"/>
  <c r="O45" i="13" s="1"/>
  <c r="K271" i="24"/>
  <c r="G267" i="32"/>
  <c r="F196" i="12"/>
  <c r="F197" i="12" s="1"/>
  <c r="F255" i="12" s="1"/>
  <c r="F264" i="12" s="1"/>
  <c r="F266" i="12" s="1"/>
  <c r="L271" i="24"/>
  <c r="C267" i="32"/>
  <c r="V245" i="32"/>
  <c r="AB254" i="33"/>
  <c r="K271" i="33"/>
  <c r="F271" i="24"/>
  <c r="G196" i="12"/>
  <c r="G197" i="12" s="1"/>
  <c r="G255" i="12" s="1"/>
  <c r="G264" i="12" s="1"/>
  <c r="G266" i="12" s="1"/>
  <c r="F270" i="22"/>
  <c r="W254" i="22"/>
  <c r="V154" i="12"/>
  <c r="W152" i="12" s="1"/>
  <c r="W154" i="12" s="1"/>
  <c r="X152" i="12" s="1"/>
  <c r="X154" i="12" s="1"/>
  <c r="Y152" i="12" s="1"/>
  <c r="Y154" i="12" s="1"/>
  <c r="Z152" i="12" s="1"/>
  <c r="Z154" i="12" s="1"/>
  <c r="AA152" i="12" s="1"/>
  <c r="AA154" i="12" s="1"/>
  <c r="AB152" i="12" s="1"/>
  <c r="AB154" i="12" s="1"/>
  <c r="AC152" i="12" s="1"/>
  <c r="AC154" i="12" s="1"/>
  <c r="AD152" i="12" s="1"/>
  <c r="AD154" i="12" s="1"/>
  <c r="AE152" i="12" s="1"/>
  <c r="AE154" i="12" s="1"/>
  <c r="C270" i="22"/>
  <c r="E267" i="32"/>
  <c r="N196" i="12"/>
  <c r="N197" i="12" s="1"/>
  <c r="N255" i="12" s="1"/>
  <c r="N264" i="12" s="1"/>
  <c r="N266" i="12" s="1"/>
  <c r="J16" i="9"/>
  <c r="J17" i="9" s="1"/>
  <c r="J75" i="9" s="1"/>
  <c r="AD250" i="22"/>
  <c r="AD252" i="22" s="1"/>
  <c r="AD254" i="22" s="1"/>
  <c r="M270" i="22"/>
  <c r="X254" i="24"/>
  <c r="N271" i="33"/>
  <c r="J267" i="32"/>
  <c r="AE254" i="33"/>
  <c r="AA245" i="32"/>
  <c r="E196" i="12"/>
  <c r="E197" i="12" s="1"/>
  <c r="E255" i="12" s="1"/>
  <c r="E264" i="12" s="1"/>
  <c r="E266" i="12" s="1"/>
  <c r="K16" i="8"/>
  <c r="K16" i="9"/>
  <c r="K17" i="9" s="1"/>
  <c r="K75" i="9" s="1"/>
  <c r="K84" i="9" s="1"/>
  <c r="K86" i="9" s="1"/>
  <c r="AC245" i="24"/>
  <c r="AC249" i="24" s="1"/>
  <c r="AC254" i="24" s="1"/>
  <c r="D176" i="12"/>
  <c r="E174" i="12" s="1"/>
  <c r="E176" i="12" s="1"/>
  <c r="F174" i="12" s="1"/>
  <c r="F176" i="12" s="1"/>
  <c r="G174" i="12" s="1"/>
  <c r="G176" i="12" s="1"/>
  <c r="H174" i="12" s="1"/>
  <c r="H176" i="12" s="1"/>
  <c r="I174" i="12" s="1"/>
  <c r="I176" i="12" s="1"/>
  <c r="J174" i="12" s="1"/>
  <c r="J176" i="12" s="1"/>
  <c r="K174" i="12" s="1"/>
  <c r="K176" i="12" s="1"/>
  <c r="L174" i="12" s="1"/>
  <c r="L176" i="12" s="1"/>
  <c r="M174" i="12" s="1"/>
  <c r="M176" i="12" s="1"/>
  <c r="N174" i="12" s="1"/>
  <c r="N176" i="12" s="1"/>
  <c r="AA262" i="12"/>
  <c r="G14" i="8"/>
  <c r="I14" i="8" s="1"/>
  <c r="AE254" i="24"/>
  <c r="N271" i="24"/>
  <c r="M196" i="12"/>
  <c r="M197" i="12" s="1"/>
  <c r="M255" i="12" s="1"/>
  <c r="M264" i="12" s="1"/>
  <c r="M266" i="12" s="1"/>
  <c r="Z254" i="24"/>
  <c r="AA254" i="33"/>
  <c r="I271" i="24"/>
  <c r="G16" i="9"/>
  <c r="G17" i="9" s="1"/>
  <c r="G75" i="9" s="1"/>
  <c r="G84" i="9" s="1"/>
  <c r="G86" i="9" s="1"/>
  <c r="J271" i="33"/>
  <c r="J196" i="12"/>
  <c r="J197" i="12" s="1"/>
  <c r="J255" i="12" s="1"/>
  <c r="J264" i="12" s="1"/>
  <c r="J266" i="12" s="1"/>
  <c r="G271" i="24"/>
  <c r="K264" i="12"/>
  <c r="K266" i="12" s="1"/>
  <c r="J84" i="9"/>
  <c r="J86" i="9" s="1"/>
  <c r="AC241" i="32"/>
  <c r="AC243" i="32" s="1"/>
  <c r="AC245" i="32" s="1"/>
  <c r="L267" i="32"/>
  <c r="T246" i="14"/>
  <c r="U244" i="14" s="1"/>
  <c r="U246" i="14" s="1"/>
  <c r="V244" i="14" s="1"/>
  <c r="V246" i="14" s="1"/>
  <c r="W244" i="14" s="1"/>
  <c r="W246" i="14" s="1"/>
  <c r="X244" i="14" s="1"/>
  <c r="X246" i="14" s="1"/>
  <c r="Y244" i="14" s="1"/>
  <c r="Y246" i="14" s="1"/>
  <c r="Z244" i="14" s="1"/>
  <c r="Z246" i="14" s="1"/>
  <c r="AA244" i="14" s="1"/>
  <c r="AA246" i="14" s="1"/>
  <c r="AB244" i="14" s="1"/>
  <c r="AB246" i="14" s="1"/>
  <c r="AC244" i="14" s="1"/>
  <c r="AC246" i="14" s="1"/>
  <c r="AD244" i="14" s="1"/>
  <c r="AD246" i="14" s="1"/>
  <c r="AE244" i="14" s="1"/>
  <c r="AE246" i="14" s="1"/>
  <c r="W261" i="14" s="1"/>
  <c r="W250" i="33"/>
  <c r="W252" i="33" s="1"/>
  <c r="W254" i="33" s="1"/>
  <c r="F271" i="33"/>
  <c r="H264" i="12"/>
  <c r="H266" i="12" s="1"/>
  <c r="T253" i="33"/>
  <c r="T255" i="33" s="1"/>
  <c r="U253" i="33" s="1"/>
  <c r="W175" i="33"/>
  <c r="M84" i="9"/>
  <c r="N84" i="9"/>
  <c r="N86" i="9" s="1"/>
  <c r="X245" i="32"/>
  <c r="H271" i="24"/>
  <c r="Y245" i="24"/>
  <c r="Y249" i="24" s="1"/>
  <c r="Y254" i="24" s="1"/>
  <c r="AB241" i="32"/>
  <c r="AB243" i="32" s="1"/>
  <c r="AB245" i="32" s="1"/>
  <c r="K267" i="32"/>
  <c r="W175" i="24"/>
  <c r="T253" i="24"/>
  <c r="Y259" i="12"/>
  <c r="E16" i="9"/>
  <c r="E17" i="9" s="1"/>
  <c r="E75" i="9" s="1"/>
  <c r="E84" i="9" s="1"/>
  <c r="E86" i="9" s="1"/>
  <c r="I16" i="9"/>
  <c r="I17" i="9" s="1"/>
  <c r="I75" i="9" s="1"/>
  <c r="I84" i="9" s="1"/>
  <c r="I86" i="9" s="1"/>
  <c r="N270" i="22"/>
  <c r="K6" i="10"/>
  <c r="K17" i="10" s="1"/>
  <c r="T244" i="32"/>
  <c r="T246" i="32" s="1"/>
  <c r="U244" i="32" s="1"/>
  <c r="W170" i="32"/>
  <c r="U241" i="32"/>
  <c r="U243" i="32" s="1"/>
  <c r="U245" i="32" s="1"/>
  <c r="D267" i="32"/>
  <c r="L16" i="9"/>
  <c r="L17" i="9" s="1"/>
  <c r="L75" i="9" s="1"/>
  <c r="L84" i="9" s="1"/>
  <c r="L86" i="9" s="1"/>
  <c r="Y250" i="22"/>
  <c r="Y252" i="22" s="1"/>
  <c r="Y254" i="22" s="1"/>
  <c r="H270" i="22"/>
  <c r="Y250" i="33"/>
  <c r="Y252" i="33" s="1"/>
  <c r="Y254" i="33" s="1"/>
  <c r="H271" i="33"/>
  <c r="Z250" i="33"/>
  <c r="Z252" i="33" s="1"/>
  <c r="Z254" i="33" s="1"/>
  <c r="I271" i="33"/>
  <c r="U250" i="22"/>
  <c r="U252" i="22" s="1"/>
  <c r="U254" i="22" s="1"/>
  <c r="D270" i="22"/>
  <c r="U254" i="33"/>
  <c r="M86" i="9"/>
  <c r="L196" i="12"/>
  <c r="L197" i="12" s="1"/>
  <c r="L255" i="12" s="1"/>
  <c r="L264" i="12" s="1"/>
  <c r="L266" i="12" s="1"/>
  <c r="AC250" i="33"/>
  <c r="AC252" i="33" s="1"/>
  <c r="AC254" i="33" s="1"/>
  <c r="L271" i="33"/>
  <c r="X250" i="33"/>
  <c r="X252" i="33" s="1"/>
  <c r="X254" i="33" s="1"/>
  <c r="G271" i="33"/>
  <c r="W167" i="14"/>
  <c r="W172" i="14" s="1"/>
  <c r="Y172" i="14" s="1"/>
  <c r="AA173" i="14" s="1"/>
  <c r="Y170" i="14"/>
  <c r="Y167" i="14" s="1"/>
  <c r="C266" i="14"/>
  <c r="C268" i="14" s="1"/>
  <c r="D266" i="14" s="1"/>
  <c r="D268" i="14" s="1"/>
  <c r="E266" i="14" s="1"/>
  <c r="E268" i="14" s="1"/>
  <c r="F266" i="14" s="1"/>
  <c r="F268" i="14" s="1"/>
  <c r="G266" i="14" s="1"/>
  <c r="G268" i="14" s="1"/>
  <c r="H266" i="14" s="1"/>
  <c r="H268" i="14" s="1"/>
  <c r="I266" i="14" s="1"/>
  <c r="I268" i="14" s="1"/>
  <c r="J266" i="14" s="1"/>
  <c r="J268" i="14" s="1"/>
  <c r="K266" i="14" s="1"/>
  <c r="K268" i="14" s="1"/>
  <c r="L266" i="14" s="1"/>
  <c r="L268" i="14" s="1"/>
  <c r="M266" i="14" s="1"/>
  <c r="M268" i="14" s="1"/>
  <c r="N266" i="14" s="1"/>
  <c r="N268" i="14" s="1"/>
  <c r="P268" i="14" s="1"/>
  <c r="AA245" i="24"/>
  <c r="AA249" i="24" s="1"/>
  <c r="AA254" i="24" s="1"/>
  <c r="J271" i="24"/>
  <c r="AE254" i="22"/>
  <c r="V250" i="22"/>
  <c r="V252" i="22" s="1"/>
  <c r="V254" i="22" s="1"/>
  <c r="E270" i="22"/>
  <c r="AD241" i="32"/>
  <c r="AD243" i="32" s="1"/>
  <c r="AD245" i="32" s="1"/>
  <c r="M267" i="32"/>
  <c r="AC250" i="22"/>
  <c r="AC252" i="22" s="1"/>
  <c r="AC254" i="22" s="1"/>
  <c r="L270" i="22"/>
  <c r="M271" i="33"/>
  <c r="AD254" i="33"/>
  <c r="N43" i="13"/>
  <c r="N44" i="13" s="1"/>
  <c r="N45" i="13" s="1"/>
  <c r="D271" i="33"/>
  <c r="Y241" i="32"/>
  <c r="Y243" i="32" s="1"/>
  <c r="Y245" i="32" s="1"/>
  <c r="H267" i="32"/>
  <c r="I267" i="32"/>
  <c r="P43" i="13"/>
  <c r="P44" i="13" s="1"/>
  <c r="P45" i="13" s="1"/>
  <c r="G270" i="22"/>
  <c r="H16" i="9"/>
  <c r="H17" i="9" s="1"/>
  <c r="H75" i="9" s="1"/>
  <c r="H84" i="9" s="1"/>
  <c r="H86" i="9" s="1"/>
  <c r="D16" i="9"/>
  <c r="D17" i="9" s="1"/>
  <c r="D75" i="9" s="1"/>
  <c r="D84" i="9" s="1"/>
  <c r="D86" i="9" s="1"/>
  <c r="Z250" i="22"/>
  <c r="Z252" i="22" s="1"/>
  <c r="Z254" i="22" s="1"/>
  <c r="I270" i="22"/>
  <c r="V250" i="33"/>
  <c r="V252" i="33" s="1"/>
  <c r="V254" i="33" s="1"/>
  <c r="E271" i="33"/>
  <c r="Z245" i="32"/>
  <c r="P47" i="36"/>
  <c r="P49" i="36" s="1"/>
  <c r="O47" i="36"/>
  <c r="O49" i="36" s="1"/>
  <c r="N47" i="36"/>
  <c r="N49" i="36" s="1"/>
  <c r="X254" i="22"/>
  <c r="E262" i="6"/>
  <c r="F260" i="6" s="1"/>
  <c r="F262" i="6" s="1"/>
  <c r="G260" i="6" s="1"/>
  <c r="G262" i="6" s="1"/>
  <c r="H260" i="6" s="1"/>
  <c r="H262" i="6" s="1"/>
  <c r="I260" i="6" s="1"/>
  <c r="I262" i="6" s="1"/>
  <c r="J260" i="6" s="1"/>
  <c r="J262" i="6" s="1"/>
  <c r="K260" i="6" s="1"/>
  <c r="K262" i="6" s="1"/>
  <c r="L260" i="6" s="1"/>
  <c r="L262" i="6" s="1"/>
  <c r="M260" i="6" s="1"/>
  <c r="M262" i="6" s="1"/>
  <c r="N260" i="6" s="1"/>
  <c r="N262" i="6" s="1"/>
  <c r="P262" i="6" s="1"/>
  <c r="T212" i="6" s="1"/>
  <c r="D196" i="12"/>
  <c r="D197" i="12" s="1"/>
  <c r="D255" i="12" s="1"/>
  <c r="D264" i="12" s="1"/>
  <c r="D266" i="12" s="1"/>
  <c r="E271" i="24"/>
  <c r="V245" i="24"/>
  <c r="V249" i="24" s="1"/>
  <c r="V254" i="24" s="1"/>
  <c r="C271" i="24"/>
  <c r="T245" i="24"/>
  <c r="T249" i="24" s="1"/>
  <c r="T254" i="24" s="1"/>
  <c r="F16" i="9"/>
  <c r="F17" i="9" s="1"/>
  <c r="F75" i="9" s="1"/>
  <c r="F84" i="9" s="1"/>
  <c r="F86" i="9" s="1"/>
  <c r="T253" i="22"/>
  <c r="T255" i="22" s="1"/>
  <c r="U253" i="22" s="1"/>
  <c r="W175" i="22"/>
  <c r="U245" i="24"/>
  <c r="U249" i="24" s="1"/>
  <c r="U254" i="24" s="1"/>
  <c r="D271" i="24"/>
  <c r="AE241" i="32"/>
  <c r="AE243" i="32" s="1"/>
  <c r="AE245" i="32" s="1"/>
  <c r="N267" i="32"/>
  <c r="Y175" i="26"/>
  <c r="Y172" i="26" s="1"/>
  <c r="C269" i="26"/>
  <c r="C271" i="26" s="1"/>
  <c r="D269" i="26" s="1"/>
  <c r="D271" i="26" s="1"/>
  <c r="E269" i="26" s="1"/>
  <c r="E271" i="26" s="1"/>
  <c r="F269" i="26" s="1"/>
  <c r="F271" i="26" s="1"/>
  <c r="G269" i="26" s="1"/>
  <c r="G271" i="26" s="1"/>
  <c r="H269" i="26" s="1"/>
  <c r="H271" i="26" s="1"/>
  <c r="I269" i="26" s="1"/>
  <c r="I271" i="26" s="1"/>
  <c r="J269" i="26" s="1"/>
  <c r="J271" i="26" s="1"/>
  <c r="K269" i="26" s="1"/>
  <c r="K271" i="26" s="1"/>
  <c r="L269" i="26" s="1"/>
  <c r="L271" i="26" s="1"/>
  <c r="M269" i="26" s="1"/>
  <c r="M271" i="26" s="1"/>
  <c r="N269" i="26" s="1"/>
  <c r="N271" i="26" s="1"/>
  <c r="P271" i="26" s="1"/>
  <c r="W172" i="26"/>
  <c r="W177" i="26" s="1"/>
  <c r="Y177" i="26" s="1"/>
  <c r="AA178" i="26" s="1"/>
  <c r="C196" i="12"/>
  <c r="C197" i="12" s="1"/>
  <c r="C255" i="12" s="1"/>
  <c r="C264" i="12" s="1"/>
  <c r="C266" i="12" s="1"/>
  <c r="I196" i="12"/>
  <c r="I197" i="12" s="1"/>
  <c r="I255" i="12" s="1"/>
  <c r="I264" i="12" s="1"/>
  <c r="I266" i="12" s="1"/>
  <c r="W241" i="32"/>
  <c r="W243" i="32" s="1"/>
  <c r="W245" i="32" s="1"/>
  <c r="F267" i="32"/>
  <c r="J270" i="22"/>
  <c r="AB254" i="24"/>
  <c r="Y270" i="26"/>
  <c r="Y267" i="26" s="1"/>
  <c r="W267" i="26"/>
  <c r="W272" i="26" s="1"/>
  <c r="Y272" i="26" s="1"/>
  <c r="AA273" i="26" s="1"/>
  <c r="W254" i="24"/>
  <c r="AA254" i="22"/>
  <c r="N451" i="41" l="1"/>
  <c r="P451" i="41" s="1"/>
  <c r="T400" i="41"/>
  <c r="N357" i="41"/>
  <c r="P357" i="41" s="1"/>
  <c r="T306" i="41"/>
  <c r="V214" i="41"/>
  <c r="V211" i="41" s="1"/>
  <c r="T211" i="41"/>
  <c r="T216" i="41" s="1"/>
  <c r="V216" i="41" s="1"/>
  <c r="X217" i="41" s="1"/>
  <c r="G11" i="8"/>
  <c r="G16" i="8" s="1"/>
  <c r="I16" i="8" s="1"/>
  <c r="K17" i="8" s="1"/>
  <c r="U255" i="22"/>
  <c r="V253" i="22" s="1"/>
  <c r="V255" i="22" s="1"/>
  <c r="W253" i="22" s="1"/>
  <c r="W255" i="22" s="1"/>
  <c r="X253" i="22" s="1"/>
  <c r="X255" i="22" s="1"/>
  <c r="Y253" i="22" s="1"/>
  <c r="Y255" i="22" s="1"/>
  <c r="Z253" i="22" s="1"/>
  <c r="Z255" i="22" s="1"/>
  <c r="AA253" i="22" s="1"/>
  <c r="AA255" i="22" s="1"/>
  <c r="AB253" i="22" s="1"/>
  <c r="AB255" i="22" s="1"/>
  <c r="AC253" i="22" s="1"/>
  <c r="AC255" i="22" s="1"/>
  <c r="AD253" i="22" s="1"/>
  <c r="AD255" i="22" s="1"/>
  <c r="AE253" i="22" s="1"/>
  <c r="AE255" i="22" s="1"/>
  <c r="W270" i="22" s="1"/>
  <c r="E11" i="13"/>
  <c r="E10" i="13" s="1"/>
  <c r="E16" i="13" s="1"/>
  <c r="E18" i="13" s="1"/>
  <c r="F17" i="13" s="1"/>
  <c r="E48" i="13"/>
  <c r="E47" i="13" s="1"/>
  <c r="E53" i="13" s="1"/>
  <c r="E55" i="13" s="1"/>
  <c r="F54" i="13" s="1"/>
  <c r="E30" i="13"/>
  <c r="E29" i="13" s="1"/>
  <c r="E35" i="13" s="1"/>
  <c r="E37" i="13" s="1"/>
  <c r="F36" i="13" s="1"/>
  <c r="G48" i="13"/>
  <c r="G47" i="13" s="1"/>
  <c r="G53" i="13" s="1"/>
  <c r="G11" i="13"/>
  <c r="G10" i="13" s="1"/>
  <c r="G16" i="13" s="1"/>
  <c r="G30" i="13"/>
  <c r="G29" i="13" s="1"/>
  <c r="G35" i="13" s="1"/>
  <c r="Y175" i="33"/>
  <c r="Y172" i="33" s="1"/>
  <c r="C270" i="33"/>
  <c r="C272" i="33" s="1"/>
  <c r="D270" i="33" s="1"/>
  <c r="D272" i="33" s="1"/>
  <c r="E270" i="33" s="1"/>
  <c r="E272" i="33" s="1"/>
  <c r="F270" i="33" s="1"/>
  <c r="F272" i="33" s="1"/>
  <c r="G270" i="33" s="1"/>
  <c r="G272" i="33" s="1"/>
  <c r="H270" i="33" s="1"/>
  <c r="H272" i="33" s="1"/>
  <c r="I270" i="33" s="1"/>
  <c r="I272" i="33" s="1"/>
  <c r="J270" i="33" s="1"/>
  <c r="J272" i="33" s="1"/>
  <c r="K270" i="33" s="1"/>
  <c r="K272" i="33" s="1"/>
  <c r="L270" i="33" s="1"/>
  <c r="L272" i="33" s="1"/>
  <c r="M270" i="33" s="1"/>
  <c r="M272" i="33" s="1"/>
  <c r="N270" i="33" s="1"/>
  <c r="N272" i="33" s="1"/>
  <c r="P272" i="33" s="1"/>
  <c r="W172" i="33"/>
  <c r="W177" i="33" s="1"/>
  <c r="Y177" i="33" s="1"/>
  <c r="AA178" i="33" s="1"/>
  <c r="U255" i="33"/>
  <c r="V253" i="33" s="1"/>
  <c r="V255" i="33" s="1"/>
  <c r="W253" i="33" s="1"/>
  <c r="W255" i="33" s="1"/>
  <c r="X253" i="33" s="1"/>
  <c r="X255" i="33" s="1"/>
  <c r="Y253" i="33" s="1"/>
  <c r="Y255" i="33" s="1"/>
  <c r="Z253" i="33" s="1"/>
  <c r="Z255" i="33" s="1"/>
  <c r="AA253" i="33" s="1"/>
  <c r="AA255" i="33" s="1"/>
  <c r="AB253" i="33" s="1"/>
  <c r="AB255" i="33" s="1"/>
  <c r="AC253" i="33" s="1"/>
  <c r="AC255" i="33" s="1"/>
  <c r="AD253" i="33" s="1"/>
  <c r="AD255" i="33" s="1"/>
  <c r="AE253" i="33" s="1"/>
  <c r="AE255" i="33" s="1"/>
  <c r="W270" i="33" s="1"/>
  <c r="F11" i="13"/>
  <c r="F10" i="13" s="1"/>
  <c r="F16" i="13" s="1"/>
  <c r="F48" i="13"/>
  <c r="F47" i="13" s="1"/>
  <c r="F53" i="13" s="1"/>
  <c r="F30" i="13"/>
  <c r="F29" i="13" s="1"/>
  <c r="F35" i="13" s="1"/>
  <c r="V212" i="6"/>
  <c r="V209" i="6" s="1"/>
  <c r="T209" i="6"/>
  <c r="T214" i="6" s="1"/>
  <c r="V214" i="6" s="1"/>
  <c r="X215" i="6" s="1"/>
  <c r="C269" i="22"/>
  <c r="C271" i="22" s="1"/>
  <c r="D269" i="22" s="1"/>
  <c r="D271" i="22" s="1"/>
  <c r="E269" i="22" s="1"/>
  <c r="E271" i="22" s="1"/>
  <c r="F269" i="22" s="1"/>
  <c r="F271" i="22" s="1"/>
  <c r="G269" i="22" s="1"/>
  <c r="G271" i="22" s="1"/>
  <c r="H269" i="22" s="1"/>
  <c r="H271" i="22" s="1"/>
  <c r="I269" i="22" s="1"/>
  <c r="I271" i="22" s="1"/>
  <c r="J269" i="22" s="1"/>
  <c r="J271" i="22" s="1"/>
  <c r="K269" i="22" s="1"/>
  <c r="K271" i="22" s="1"/>
  <c r="L269" i="22" s="1"/>
  <c r="L271" i="22" s="1"/>
  <c r="M269" i="22" s="1"/>
  <c r="M271" i="22" s="1"/>
  <c r="N269" i="22" s="1"/>
  <c r="N271" i="22" s="1"/>
  <c r="P271" i="22" s="1"/>
  <c r="Y175" i="22"/>
  <c r="Y172" i="22" s="1"/>
  <c r="W172" i="22"/>
  <c r="W177" i="22" s="1"/>
  <c r="Y177" i="22" s="1"/>
  <c r="AA178" i="22" s="1"/>
  <c r="U246" i="32"/>
  <c r="V244" i="32" s="1"/>
  <c r="V246" i="32" s="1"/>
  <c r="W244" i="32" s="1"/>
  <c r="W246" i="32" s="1"/>
  <c r="X244" i="32" s="1"/>
  <c r="X246" i="32" s="1"/>
  <c r="Y244" i="32" s="1"/>
  <c r="Y246" i="32" s="1"/>
  <c r="Z244" i="32" s="1"/>
  <c r="Z246" i="32" s="1"/>
  <c r="AA244" i="32" s="1"/>
  <c r="AA246" i="32" s="1"/>
  <c r="AB244" i="32" s="1"/>
  <c r="AB246" i="32" s="1"/>
  <c r="AC244" i="32" s="1"/>
  <c r="AC246" i="32" s="1"/>
  <c r="AD244" i="32" s="1"/>
  <c r="AD246" i="32" s="1"/>
  <c r="AE244" i="32" s="1"/>
  <c r="AE246" i="32" s="1"/>
  <c r="W261" i="32" s="1"/>
  <c r="N51" i="36"/>
  <c r="N52" i="36" s="1"/>
  <c r="N53" i="36" s="1"/>
  <c r="Y261" i="14"/>
  <c r="Y258" i="14" s="1"/>
  <c r="W258" i="14"/>
  <c r="W263" i="14" s="1"/>
  <c r="Y263" i="14" s="1"/>
  <c r="AA264" i="14" s="1"/>
  <c r="O51" i="36"/>
  <c r="O52" i="36" s="1"/>
  <c r="O53" i="36" s="1"/>
  <c r="P51" i="36"/>
  <c r="P52" i="36" s="1"/>
  <c r="P53" i="36" s="1"/>
  <c r="T255" i="24"/>
  <c r="U253" i="24" s="1"/>
  <c r="U255" i="24" s="1"/>
  <c r="V253" i="24" s="1"/>
  <c r="V255" i="24" s="1"/>
  <c r="W253" i="24" s="1"/>
  <c r="W255" i="24" s="1"/>
  <c r="X253" i="24" s="1"/>
  <c r="X255" i="24" s="1"/>
  <c r="Y253" i="24" s="1"/>
  <c r="Y255" i="24" s="1"/>
  <c r="Z253" i="24" s="1"/>
  <c r="Z255" i="24" s="1"/>
  <c r="AA253" i="24" s="1"/>
  <c r="AA255" i="24" s="1"/>
  <c r="AB253" i="24" s="1"/>
  <c r="AB255" i="24" s="1"/>
  <c r="AC253" i="24" s="1"/>
  <c r="AC255" i="24" s="1"/>
  <c r="AD253" i="24" s="1"/>
  <c r="AD255" i="24" s="1"/>
  <c r="AE253" i="24" s="1"/>
  <c r="AE255" i="24" s="1"/>
  <c r="W270" i="24" s="1"/>
  <c r="C85" i="9"/>
  <c r="C87" i="9" s="1"/>
  <c r="D85" i="9" s="1"/>
  <c r="D87" i="9" s="1"/>
  <c r="E85" i="9" s="1"/>
  <c r="E87" i="9" s="1"/>
  <c r="F85" i="9" s="1"/>
  <c r="F87" i="9" s="1"/>
  <c r="G85" i="9" s="1"/>
  <c r="G87" i="9" s="1"/>
  <c r="H85" i="9" s="1"/>
  <c r="H87" i="9" s="1"/>
  <c r="I85" i="9" s="1"/>
  <c r="I87" i="9" s="1"/>
  <c r="J85" i="9" s="1"/>
  <c r="J87" i="9" s="1"/>
  <c r="K85" i="9" s="1"/>
  <c r="K87" i="9" s="1"/>
  <c r="L85" i="9" s="1"/>
  <c r="L87" i="9" s="1"/>
  <c r="M85" i="9" s="1"/>
  <c r="M87" i="9" s="1"/>
  <c r="N85" i="9" s="1"/>
  <c r="N87" i="9" s="1"/>
  <c r="I11" i="8"/>
  <c r="Y170" i="32"/>
  <c r="Y167" i="32" s="1"/>
  <c r="C266" i="32"/>
  <c r="C268" i="32" s="1"/>
  <c r="D266" i="32" s="1"/>
  <c r="D268" i="32" s="1"/>
  <c r="E266" i="32" s="1"/>
  <c r="E268" i="32" s="1"/>
  <c r="F266" i="32" s="1"/>
  <c r="F268" i="32" s="1"/>
  <c r="G266" i="32" s="1"/>
  <c r="G268" i="32" s="1"/>
  <c r="H266" i="32" s="1"/>
  <c r="H268" i="32" s="1"/>
  <c r="I266" i="32" s="1"/>
  <c r="I268" i="32" s="1"/>
  <c r="J266" i="32" s="1"/>
  <c r="J268" i="32" s="1"/>
  <c r="K266" i="32" s="1"/>
  <c r="K268" i="32" s="1"/>
  <c r="L266" i="32" s="1"/>
  <c r="L268" i="32" s="1"/>
  <c r="M266" i="32" s="1"/>
  <c r="M268" i="32" s="1"/>
  <c r="N266" i="32" s="1"/>
  <c r="N268" i="32" s="1"/>
  <c r="P268" i="32" s="1"/>
  <c r="W167" i="32"/>
  <c r="W172" i="32" s="1"/>
  <c r="Y172" i="32" s="1"/>
  <c r="AA173" i="32" s="1"/>
  <c r="C270" i="24"/>
  <c r="C272" i="24" s="1"/>
  <c r="D270" i="24" s="1"/>
  <c r="D272" i="24" s="1"/>
  <c r="E270" i="24" s="1"/>
  <c r="E272" i="24" s="1"/>
  <c r="F270" i="24" s="1"/>
  <c r="F272" i="24" s="1"/>
  <c r="G270" i="24" s="1"/>
  <c r="G272" i="24" s="1"/>
  <c r="H270" i="24" s="1"/>
  <c r="H272" i="24" s="1"/>
  <c r="I270" i="24" s="1"/>
  <c r="I272" i="24" s="1"/>
  <c r="J270" i="24" s="1"/>
  <c r="J272" i="24" s="1"/>
  <c r="K270" i="24" s="1"/>
  <c r="K272" i="24" s="1"/>
  <c r="L270" i="24" s="1"/>
  <c r="L272" i="24" s="1"/>
  <c r="M270" i="24" s="1"/>
  <c r="M272" i="24" s="1"/>
  <c r="N270" i="24" s="1"/>
  <c r="N272" i="24" s="1"/>
  <c r="P272" i="24" s="1"/>
  <c r="W172" i="24"/>
  <c r="W177" i="24" s="1"/>
  <c r="Y177" i="24" s="1"/>
  <c r="AA178" i="24" s="1"/>
  <c r="Y175" i="24"/>
  <c r="Y172" i="24" s="1"/>
  <c r="W169" i="12"/>
  <c r="P176" i="12"/>
  <c r="C265" i="12"/>
  <c r="C267" i="12" s="1"/>
  <c r="D265" i="12" s="1"/>
  <c r="D267" i="12" s="1"/>
  <c r="E265" i="12" s="1"/>
  <c r="E267" i="12" s="1"/>
  <c r="F265" i="12" s="1"/>
  <c r="F267" i="12" s="1"/>
  <c r="G265" i="12" s="1"/>
  <c r="G267" i="12" s="1"/>
  <c r="H265" i="12" s="1"/>
  <c r="H267" i="12" s="1"/>
  <c r="I265" i="12" s="1"/>
  <c r="I267" i="12" s="1"/>
  <c r="J265" i="12" s="1"/>
  <c r="J267" i="12" s="1"/>
  <c r="K265" i="12" s="1"/>
  <c r="K267" i="12" s="1"/>
  <c r="L265" i="12" s="1"/>
  <c r="L267" i="12" s="1"/>
  <c r="M265" i="12" s="1"/>
  <c r="M267" i="12" s="1"/>
  <c r="N265" i="12" s="1"/>
  <c r="N267" i="12" s="1"/>
  <c r="V306" i="41" l="1"/>
  <c r="V303" i="41" s="1"/>
  <c r="T303" i="41"/>
  <c r="T308" i="41" s="1"/>
  <c r="V308" i="41" s="1"/>
  <c r="V400" i="41"/>
  <c r="V397" i="41" s="1"/>
  <c r="T397" i="41"/>
  <c r="T402" i="41" s="1"/>
  <c r="V402" i="41" s="1"/>
  <c r="F18" i="13"/>
  <c r="G17" i="13" s="1"/>
  <c r="G18" i="13" s="1"/>
  <c r="G11" i="36"/>
  <c r="G10" i="36" s="1"/>
  <c r="G16" i="36" s="1"/>
  <c r="G31" i="36"/>
  <c r="G30" i="36" s="1"/>
  <c r="G36" i="36" s="1"/>
  <c r="F31" i="36"/>
  <c r="F30" i="36" s="1"/>
  <c r="F36" i="36" s="1"/>
  <c r="F11" i="36"/>
  <c r="F10" i="36" s="1"/>
  <c r="F16" i="36" s="1"/>
  <c r="E11" i="36"/>
  <c r="E10" i="36" s="1"/>
  <c r="E16" i="36" s="1"/>
  <c r="E18" i="36" s="1"/>
  <c r="F17" i="36" s="1"/>
  <c r="E31" i="36"/>
  <c r="E30" i="36" s="1"/>
  <c r="E36" i="36" s="1"/>
  <c r="E38" i="36" s="1"/>
  <c r="F37" i="36" s="1"/>
  <c r="Y270" i="33"/>
  <c r="Y267" i="33" s="1"/>
  <c r="W267" i="33"/>
  <c r="W272" i="33" s="1"/>
  <c r="Y272" i="33" s="1"/>
  <c r="AA273" i="33" s="1"/>
  <c r="Y261" i="32"/>
  <c r="Y258" i="32" s="1"/>
  <c r="W258" i="32"/>
  <c r="W263" i="32" s="1"/>
  <c r="Y263" i="32" s="1"/>
  <c r="AA264" i="32" s="1"/>
  <c r="Y270" i="24"/>
  <c r="Y267" i="24" s="1"/>
  <c r="W267" i="24"/>
  <c r="W272" i="24" s="1"/>
  <c r="Y272" i="24" s="1"/>
  <c r="AA273" i="24" s="1"/>
  <c r="G15" i="10"/>
  <c r="P87" i="9"/>
  <c r="P267" i="12"/>
  <c r="W260" i="12"/>
  <c r="Y169" i="12"/>
  <c r="Y166" i="12" s="1"/>
  <c r="W166" i="12"/>
  <c r="W171" i="12" s="1"/>
  <c r="Y171" i="12" s="1"/>
  <c r="AA172" i="12" s="1"/>
  <c r="F37" i="13"/>
  <c r="G36" i="13" s="1"/>
  <c r="G37" i="13" s="1"/>
  <c r="Y270" i="22"/>
  <c r="Y267" i="22" s="1"/>
  <c r="W267" i="22"/>
  <c r="W272" i="22" s="1"/>
  <c r="Y272" i="22" s="1"/>
  <c r="AA273" i="22" s="1"/>
  <c r="F55" i="13"/>
  <c r="G54" i="13" s="1"/>
  <c r="G55" i="13" s="1"/>
  <c r="G12" i="10" l="1"/>
  <c r="G17" i="10" s="1"/>
  <c r="I17" i="10" s="1"/>
  <c r="K18" i="10" s="1"/>
  <c r="I15" i="10"/>
  <c r="I12" i="10" s="1"/>
  <c r="Y260" i="12"/>
  <c r="Y257" i="12" s="1"/>
  <c r="W257" i="12"/>
  <c r="W262" i="12" s="1"/>
  <c r="Y262" i="12" s="1"/>
  <c r="AA263" i="12" s="1"/>
  <c r="F38" i="36"/>
  <c r="G37" i="36" s="1"/>
  <c r="G38" i="36" s="1"/>
  <c r="F18" i="36"/>
  <c r="G17" i="36" s="1"/>
  <c r="G18" i="36" s="1"/>
</calcChain>
</file>

<file path=xl/sharedStrings.xml><?xml version="1.0" encoding="utf-8"?>
<sst xmlns="http://schemas.openxmlformats.org/spreadsheetml/2006/main" count="10276" uniqueCount="368">
  <si>
    <t>Compte de résultat Société Red au 31.12.N</t>
  </si>
  <si>
    <t>Prestation de services</t>
  </si>
  <si>
    <t xml:space="preserve">Actif </t>
  </si>
  <si>
    <t>Brut</t>
  </si>
  <si>
    <t>Amort et Dep</t>
  </si>
  <si>
    <t xml:space="preserve">Net </t>
  </si>
  <si>
    <t>Passif</t>
  </si>
  <si>
    <t>Subventions d'exploitation</t>
  </si>
  <si>
    <t xml:space="preserve">Immobilisations </t>
  </si>
  <si>
    <t xml:space="preserve">Capitaux propres </t>
  </si>
  <si>
    <t>Total produits d'exploitation</t>
  </si>
  <si>
    <t>Installations techniques, matériel et out. ind</t>
  </si>
  <si>
    <t xml:space="preserve">Capital </t>
  </si>
  <si>
    <t>Achats de MP</t>
  </si>
  <si>
    <t xml:space="preserve">Autres immobilisations corporelles </t>
  </si>
  <si>
    <t xml:space="preserve">Réserve légale </t>
  </si>
  <si>
    <t>Autres achats et charges externes</t>
  </si>
  <si>
    <t xml:space="preserve">Autres réserves et report à nouveau </t>
  </si>
  <si>
    <t>Impots, taxes et versements assimilés</t>
  </si>
  <si>
    <t>Résultat de l'exercice</t>
  </si>
  <si>
    <t>Salaires et traitements</t>
  </si>
  <si>
    <t>Charges sociales</t>
  </si>
  <si>
    <t xml:space="preserve">Actif circulant </t>
  </si>
  <si>
    <t xml:space="preserve">Dettes </t>
  </si>
  <si>
    <t>Dotations d'exploitation</t>
  </si>
  <si>
    <t>Stock de matières premières</t>
  </si>
  <si>
    <t>Emprunts et dettes auprès des établiss. de crédit</t>
  </si>
  <si>
    <t>Total charges d'exploitation</t>
  </si>
  <si>
    <t>Créances clients et comptes rattachés</t>
  </si>
  <si>
    <t>Dettes fournisseurs et comptes rattachés</t>
  </si>
  <si>
    <t>Résultat d'exploitation</t>
  </si>
  <si>
    <t>Autres créances (1)</t>
  </si>
  <si>
    <t>Dettes fiscales et sociales (2)</t>
  </si>
  <si>
    <t>Total produits financiers</t>
  </si>
  <si>
    <t>Disponibilités</t>
  </si>
  <si>
    <t xml:space="preserve">Autres dettes (3) </t>
  </si>
  <si>
    <t>Intérêts et charges assimilées</t>
  </si>
  <si>
    <t>Total charges financières</t>
  </si>
  <si>
    <t>TOTAL  ACTIF</t>
  </si>
  <si>
    <t>TOTAL  PASSIF</t>
  </si>
  <si>
    <t>Résultat financier</t>
  </si>
  <si>
    <t>(1) Réglées en Juin N+1</t>
  </si>
  <si>
    <t>ECART</t>
  </si>
  <si>
    <t>Résultat courant avant impôt</t>
  </si>
  <si>
    <t>(2) Dette URSSAF: 16 000 € et TVA à décaisser: 15 000 € (payés en janv N+1)</t>
  </si>
  <si>
    <t>Résultat exceptionnel</t>
  </si>
  <si>
    <t>(3) Paiement étalé sur 12 mois en N+1</t>
  </si>
  <si>
    <t>Résultat net</t>
  </si>
  <si>
    <t>N+1</t>
  </si>
  <si>
    <t>Budget de ventes N+1</t>
  </si>
  <si>
    <t>Janvier</t>
  </si>
  <si>
    <t>Février</t>
  </si>
  <si>
    <t>Mars</t>
  </si>
  <si>
    <t>Avril</t>
  </si>
  <si>
    <t>Mai</t>
  </si>
  <si>
    <t>Juin</t>
  </si>
  <si>
    <t>Juillet</t>
  </si>
  <si>
    <t>Août</t>
  </si>
  <si>
    <t>Septembre</t>
  </si>
  <si>
    <t>Octobre</t>
  </si>
  <si>
    <t>Novembre</t>
  </si>
  <si>
    <t>Décembre</t>
  </si>
  <si>
    <t>à reporter au bilan ou CDR</t>
  </si>
  <si>
    <t>Compte de résultat Société Red au 31.12.N+1</t>
  </si>
  <si>
    <t>élément</t>
  </si>
  <si>
    <t>Montant</t>
  </si>
  <si>
    <t>CA HT</t>
  </si>
  <si>
    <t>Subvention d'exploitation</t>
  </si>
  <si>
    <t>TVA collectée</t>
  </si>
  <si>
    <t>CA TTC</t>
  </si>
  <si>
    <t xml:space="preserve">Achats de MP </t>
  </si>
  <si>
    <t xml:space="preserve">Règlement </t>
  </si>
  <si>
    <t>Clients</t>
  </si>
  <si>
    <t xml:space="preserve">Autres achats et charges externes </t>
  </si>
  <si>
    <t>Budget de achats N+1</t>
  </si>
  <si>
    <t xml:space="preserve">Dotations d'exploitation </t>
  </si>
  <si>
    <t xml:space="preserve">Total charges d'exploitation </t>
  </si>
  <si>
    <t>ACHATS HT</t>
  </si>
  <si>
    <t>Achats</t>
  </si>
  <si>
    <t>TVA ded sur achats</t>
  </si>
  <si>
    <t>Total achat TTC</t>
  </si>
  <si>
    <t>Règlement</t>
  </si>
  <si>
    <t>Fournisseurs</t>
  </si>
  <si>
    <t>Budget de production N+1</t>
  </si>
  <si>
    <t>Coûts fixes HT</t>
  </si>
  <si>
    <t xml:space="preserve">Autres achats &amp; charges externes </t>
  </si>
  <si>
    <t>TVA sur CF</t>
  </si>
  <si>
    <t>Total TTC des CF hors amortissement</t>
  </si>
  <si>
    <t>Bilan société Red au 31.12.N +1</t>
  </si>
  <si>
    <t>Amortissemements</t>
  </si>
  <si>
    <t>Amortissement nouveau mat</t>
  </si>
  <si>
    <t xml:space="preserve">repartion 7500 d'amortissement immo </t>
  </si>
  <si>
    <t xml:space="preserve">Nouvel amortissement </t>
  </si>
  <si>
    <t>Dotations aux amortissements</t>
  </si>
  <si>
    <t>Total des amortissements</t>
  </si>
  <si>
    <t>Salaire Net</t>
  </si>
  <si>
    <t>Décaissement salaires nets</t>
  </si>
  <si>
    <t xml:space="preserve">Salaire </t>
  </si>
  <si>
    <t xml:space="preserve">Charges sociales </t>
  </si>
  <si>
    <t>Décaissement charges sociales</t>
  </si>
  <si>
    <t>Dette URSSAF</t>
  </si>
  <si>
    <t>Budget des autres frais, de l'IS et de l'emprunt N+1</t>
  </si>
  <si>
    <t>Impôts et taxes</t>
  </si>
  <si>
    <t>Frais généraux / impôts et taxes</t>
  </si>
  <si>
    <t>Ecart</t>
  </si>
  <si>
    <t>Règlement frais généraux</t>
  </si>
  <si>
    <t>Intérêts</t>
  </si>
  <si>
    <t xml:space="preserve">Intérêts et charges assimilés </t>
  </si>
  <si>
    <t>Remboursement de l'emprunt</t>
  </si>
  <si>
    <t>Emprunt</t>
  </si>
  <si>
    <t>Budget des investissements N+1</t>
  </si>
  <si>
    <t>Acquisitions HT</t>
  </si>
  <si>
    <t xml:space="preserve">Immobilisation </t>
  </si>
  <si>
    <t>TVA ded sur immo</t>
  </si>
  <si>
    <t>Total TTC</t>
  </si>
  <si>
    <t xml:space="preserve">Fournisseurs Immobilisation </t>
  </si>
  <si>
    <t>Budget de TVA N+1</t>
  </si>
  <si>
    <t>Total TVA déductible</t>
  </si>
  <si>
    <t>TVA à décaisser / crédit de TVA</t>
  </si>
  <si>
    <t>TVA à décaisser /  dettes fiscales</t>
  </si>
  <si>
    <t>Budget de trésorerie N+1</t>
  </si>
  <si>
    <t>Ventes</t>
  </si>
  <si>
    <t>Autres créances</t>
  </si>
  <si>
    <t>Encaissements des ventes</t>
  </si>
  <si>
    <t>Décaissements des achats</t>
  </si>
  <si>
    <t xml:space="preserve">Autres dettes </t>
  </si>
  <si>
    <t>Salaires nets</t>
  </si>
  <si>
    <t>Décaissements CF</t>
  </si>
  <si>
    <t>Décaissements financiers</t>
  </si>
  <si>
    <t>Décaissements investissements</t>
  </si>
  <si>
    <t>Décaissements TVA</t>
  </si>
  <si>
    <t>Total décaissements</t>
  </si>
  <si>
    <t>Solde initial</t>
  </si>
  <si>
    <t>Mouvement du mois</t>
  </si>
  <si>
    <t>Solde final</t>
  </si>
  <si>
    <t>Disponibilité</t>
  </si>
  <si>
    <t>N+2</t>
  </si>
  <si>
    <t>Budget de ventes N+2</t>
  </si>
  <si>
    <t>Compte de résultat Société Red au 31.12.N+2</t>
  </si>
  <si>
    <t>Règlement reçu</t>
  </si>
  <si>
    <t>Budget de achats N+2</t>
  </si>
  <si>
    <t xml:space="preserve">repartion 7500 d amortissement immo </t>
  </si>
  <si>
    <t>Budget de prouduction N+2</t>
  </si>
  <si>
    <t>Bilan société Red au 31.12.N +2</t>
  </si>
  <si>
    <t>Amortissement Véhicule de tourisme</t>
  </si>
  <si>
    <t>Amortissement Matériel et outillage</t>
  </si>
  <si>
    <t xml:space="preserve">Dettes fiscales et sociales </t>
  </si>
  <si>
    <t>Budget des autres frais, de l'IS et de l'emprunt N+2</t>
  </si>
  <si>
    <t>Budget des investissements N+2</t>
  </si>
  <si>
    <t>/</t>
  </si>
  <si>
    <t>Budget de TVA N+2</t>
  </si>
  <si>
    <t>Budget de trésorerie N+2</t>
  </si>
  <si>
    <t>N+3</t>
  </si>
  <si>
    <t>Budget de ventes N+3</t>
  </si>
  <si>
    <t>Compte de résultat Société Red au 31.12.N+3</t>
  </si>
  <si>
    <t>Budget de achats N+3</t>
  </si>
  <si>
    <t>Budget de prouduction N+3</t>
  </si>
  <si>
    <t>Bilan société Red au 31.12.N+3</t>
  </si>
  <si>
    <t>Amortissement Camionnette</t>
  </si>
  <si>
    <t>Dettes fiscales et sociales</t>
  </si>
  <si>
    <t>Budget des autres frais, de l'IS et de l'emprunt N+3</t>
  </si>
  <si>
    <t>Budget des investissements N+3</t>
  </si>
  <si>
    <t>Budget de TVA N+3</t>
  </si>
  <si>
    <t>Budget de trésorerie N+3</t>
  </si>
  <si>
    <t>Dispoonibilité</t>
  </si>
  <si>
    <t>cbc</t>
  </si>
  <si>
    <t>une fois par an ou une fois par mois les amort</t>
  </si>
  <si>
    <t>a mettre en négatif sans changé le calcul</t>
  </si>
  <si>
    <t>Budget de prouduction N+1</t>
  </si>
  <si>
    <t>Bilan société Red au 31.12.N +3</t>
  </si>
  <si>
    <t>Années</t>
  </si>
  <si>
    <t>Capital début de période</t>
  </si>
  <si>
    <t>Amortissements</t>
  </si>
  <si>
    <t>Annuités</t>
  </si>
  <si>
    <t>Capital fin de période</t>
  </si>
  <si>
    <t>Véhicule du tourisme - Janvier N+1</t>
  </si>
  <si>
    <t>Véhicule du tourisme - Janvier N+1 Crédit bail</t>
  </si>
  <si>
    <t xml:space="preserve">Années </t>
  </si>
  <si>
    <t xml:space="preserve">Prix d'achat HT  </t>
  </si>
  <si>
    <t xml:space="preserve">Amortissements </t>
  </si>
  <si>
    <t xml:space="preserve">Total </t>
  </si>
  <si>
    <t>VNC?</t>
  </si>
  <si>
    <t>Loyer</t>
  </si>
  <si>
    <t>Rachat</t>
  </si>
  <si>
    <t>n</t>
  </si>
  <si>
    <t>n+1</t>
  </si>
  <si>
    <t>n+2</t>
  </si>
  <si>
    <t>n+3</t>
  </si>
  <si>
    <t>n+4</t>
  </si>
  <si>
    <t>Matériel et outillage -  Juin N+2</t>
  </si>
  <si>
    <t>Matériel et outillage -  Juin N+2 Crédit bail</t>
  </si>
  <si>
    <t>Délais de paiement FRS</t>
  </si>
  <si>
    <t>Délais de paiement Clients</t>
  </si>
  <si>
    <t>Camionette - Janvier N+3</t>
  </si>
  <si>
    <t>Camionette - Janvier N+3 Crédit bail</t>
  </si>
  <si>
    <t>→</t>
  </si>
  <si>
    <t>Réduire le délai de remboursement de l'emprunt</t>
  </si>
  <si>
    <t>Réduire le délai de paiement des fournisseurs</t>
  </si>
  <si>
    <t>Hypothèse 1 (9ans)</t>
  </si>
  <si>
    <t xml:space="preserve">Emprunt initial </t>
  </si>
  <si>
    <t>N</t>
  </si>
  <si>
    <t>N+4</t>
  </si>
  <si>
    <t>Hypothèse 2 (8ans)</t>
  </si>
  <si>
    <t>Equilibrage de la trésorerie</t>
  </si>
  <si>
    <t>Encaissement des ventes</t>
  </si>
  <si>
    <t>Effets escoomptés</t>
  </si>
  <si>
    <t>Effets remis à l'escompte</t>
  </si>
  <si>
    <t>Découvert bancaire</t>
  </si>
  <si>
    <t>Apport en capital</t>
  </si>
  <si>
    <t>Capital</t>
  </si>
  <si>
    <t>Somme totale des encaissements</t>
  </si>
  <si>
    <t>Total décaissement hors agios</t>
  </si>
  <si>
    <t>Agios</t>
  </si>
  <si>
    <t xml:space="preserve">Somme totale des décaissements </t>
  </si>
  <si>
    <t>Solde  final</t>
  </si>
  <si>
    <t>Compte de résultat</t>
  </si>
  <si>
    <t xml:space="preserve">Résultat exceptionnel </t>
  </si>
  <si>
    <t>Remb emprunt avancé</t>
  </si>
  <si>
    <t xml:space="preserve">Nouvel emprunt </t>
  </si>
  <si>
    <t>Immobilisation</t>
  </si>
  <si>
    <t>Fournisseurs Immo</t>
  </si>
  <si>
    <t>CBC</t>
  </si>
  <si>
    <t>Bilan société Red au 31.12.N+2</t>
  </si>
  <si>
    <t>Loyer Crédit bail véhicule de tourisme</t>
  </si>
  <si>
    <t>Crédit bail véhicule tourisme</t>
  </si>
  <si>
    <t>TVA sur crédit bail</t>
  </si>
  <si>
    <t xml:space="preserve">Nvx emprunt </t>
  </si>
  <si>
    <t>Immo</t>
  </si>
  <si>
    <t>Bilan société Red au 31.12.N+1</t>
  </si>
  <si>
    <t>Loyer Crédit bail Matériel &amp; outillage</t>
  </si>
  <si>
    <t>Crédit bail matériel et outillage</t>
  </si>
  <si>
    <t>Loyer Crédit bail véhicule utilitaire</t>
  </si>
  <si>
    <t>TVA sur credit bail</t>
  </si>
  <si>
    <t xml:space="preserve">Crédit bail véhicule utilitaire </t>
  </si>
  <si>
    <t>Loyer Crédit bail véhicule de tourrisme</t>
  </si>
  <si>
    <t>Plan initial</t>
  </si>
  <si>
    <t>N+5</t>
  </si>
  <si>
    <t>Emplois (décaissements)</t>
  </si>
  <si>
    <t>Variation du BFR</t>
  </si>
  <si>
    <t>Investissement (Acqusition société)</t>
  </si>
  <si>
    <t>CA  HT</t>
  </si>
  <si>
    <t>BFR N</t>
  </si>
  <si>
    <t>-</t>
  </si>
  <si>
    <t>Achats consommés</t>
  </si>
  <si>
    <t>BFR N+1</t>
  </si>
  <si>
    <t>Remboursement des emprunts</t>
  </si>
  <si>
    <t>Autres Achats</t>
  </si>
  <si>
    <t>BFR N+2</t>
  </si>
  <si>
    <t xml:space="preserve">Charges de personnel </t>
  </si>
  <si>
    <t>BFR N+3</t>
  </si>
  <si>
    <t>Ressources (encaissements)</t>
  </si>
  <si>
    <t>Impots et taxes</t>
  </si>
  <si>
    <t>BFR N+4</t>
  </si>
  <si>
    <t>CAF</t>
  </si>
  <si>
    <t>EBE</t>
  </si>
  <si>
    <t>BFR N+5</t>
  </si>
  <si>
    <t>Cession  d'immobilisatioons</t>
  </si>
  <si>
    <t>Augmentation de capital</t>
  </si>
  <si>
    <t>Emprunts souscrits</t>
  </si>
  <si>
    <t>Subvention reçues</t>
  </si>
  <si>
    <t>Variation de trésorerie (Ressources - Emplois)</t>
  </si>
  <si>
    <t>Trésorerie initiale</t>
  </si>
  <si>
    <t>Trésorerie finale</t>
  </si>
  <si>
    <t>2ème plan</t>
  </si>
  <si>
    <t>Investissement</t>
  </si>
  <si>
    <t>Versement des dividendes</t>
  </si>
  <si>
    <t>Interets net d is</t>
  </si>
  <si>
    <t>Cession  d'immobilisations</t>
  </si>
  <si>
    <t>Capital début</t>
  </si>
  <si>
    <t>Interets</t>
  </si>
  <si>
    <t>Amort</t>
  </si>
  <si>
    <t>Annuité</t>
  </si>
  <si>
    <t>Capital fin</t>
  </si>
  <si>
    <t>CAF NETTE D'IS</t>
  </si>
  <si>
    <t>3ème plan</t>
  </si>
  <si>
    <t>Charges d'intérets</t>
  </si>
  <si>
    <t>Dotations amortissements</t>
  </si>
  <si>
    <t>Investissement (Acquisition société)</t>
  </si>
  <si>
    <t>RN</t>
  </si>
  <si>
    <t>IS</t>
  </si>
  <si>
    <t>Équation</t>
  </si>
  <si>
    <t>Interets net d'is</t>
  </si>
  <si>
    <t>Versement dividendes</t>
  </si>
  <si>
    <t>Dividendes</t>
  </si>
  <si>
    <t>Rendement de 5% à partir de l'année suivante</t>
  </si>
  <si>
    <t>CAF NET D'IS</t>
  </si>
  <si>
    <t>Charges d'intérêts</t>
  </si>
  <si>
    <t>Compte de résultat CAFE PHILO au 31.12.N</t>
  </si>
  <si>
    <t xml:space="preserve">Bilan société CAFE PHILO au 31.12.N </t>
  </si>
  <si>
    <t>HYPOTHESE MOYENNE</t>
  </si>
  <si>
    <t>HYPOTHESE PESSIMISSTE</t>
  </si>
  <si>
    <t>HYPOTHESE OPTIMISTE</t>
  </si>
  <si>
    <t>Vente de marchandises</t>
  </si>
  <si>
    <t>Impot sur les sociétés</t>
  </si>
  <si>
    <t>HYPOTHÈSE — Pessimiste — Paris 11ème</t>
  </si>
  <si>
    <t>HYPOTHÈSE — Moyenne — Paris 19/20ème</t>
  </si>
  <si>
    <t>HYPOTHÈSE — Optimiste — Saint-Ouen</t>
  </si>
  <si>
    <t>Apport initial trésorerie</t>
  </si>
  <si>
    <t>Emprunt (principal)</t>
  </si>
  <si>
    <t>Taux d'intérêt annuel</t>
  </si>
  <si>
    <t>Durée emprunt (mois)</t>
  </si>
  <si>
    <t>Mensualité emprunt (calcul)</t>
  </si>
  <si>
    <t>CA Année N (HT)</t>
  </si>
  <si>
    <t>Croissance CA annuelle</t>
  </si>
  <si>
    <t>TVA (taux)</t>
  </si>
  <si>
    <t>Charges variables (% CA HT)</t>
  </si>
  <si>
    <t>Loyer annuel (HT)</t>
  </si>
  <si>
    <t>Autres charges fixes annuelles (HT)</t>
  </si>
  <si>
    <t>Salaires annuels BRUT</t>
  </si>
  <si>
    <t>Charges patronales (%)</t>
  </si>
  <si>
    <t>TVA sur autres charges fixes ? (0/1)</t>
  </si>
  <si>
    <t>Mois investissement initial (1-12)</t>
  </si>
  <si>
    <t>Invest. matériel initial (HT)</t>
  </si>
  <si>
    <t>Invest. travaux initial (HT)</t>
  </si>
  <si>
    <t>Ligne</t>
  </si>
  <si>
    <t>CA (HT)</t>
  </si>
  <si>
    <t>CA (TTC)</t>
  </si>
  <si>
    <t>Encaissements clients (TTC)</t>
  </si>
  <si>
    <t>Jan</t>
  </si>
  <si>
    <t>Fév</t>
  </si>
  <si>
    <t>Mar</t>
  </si>
  <si>
    <t>Avr</t>
  </si>
  <si>
    <t>Jun</t>
  </si>
  <si>
    <t>Jul</t>
  </si>
  <si>
    <t>Aoû</t>
  </si>
  <si>
    <t>Sep</t>
  </si>
  <si>
    <t>Oct</t>
  </si>
  <si>
    <t>Nov</t>
  </si>
  <si>
    <t>Déc</t>
  </si>
  <si>
    <t>TOTAL</t>
  </si>
  <si>
    <t>Achats / charges variables (HT)</t>
  </si>
  <si>
    <t>TVA déductible sur achats</t>
  </si>
  <si>
    <t>Achats (TTC)</t>
  </si>
  <si>
    <t>Décaissements fournisseurs (TTC)</t>
  </si>
  <si>
    <t>Loyer (HT)</t>
  </si>
  <si>
    <t>Autres charges fixes (HT)</t>
  </si>
  <si>
    <t>TVA sur autres charges fixes</t>
  </si>
  <si>
    <t>Autres charges fixes (TTC)</t>
  </si>
  <si>
    <t>Salaires + charges patronales</t>
  </si>
  <si>
    <t>Décaissements production (total)</t>
  </si>
  <si>
    <t>Solde emprunt début</t>
  </si>
  <si>
    <t>Remboursement capital</t>
  </si>
  <si>
    <t>Mensualité (capital+int.)</t>
  </si>
  <si>
    <t>Solde emprunt fin</t>
  </si>
  <si>
    <t>Résultat avant IS (EBT) (mensuel)</t>
  </si>
  <si>
    <t>IS (provision mensuelle) (taux 25%)</t>
  </si>
  <si>
    <t>Décaissements autres (IS + mensualité)</t>
  </si>
  <si>
    <t>Matériel (HT)</t>
  </si>
  <si>
    <t>Travaux (HT)</t>
  </si>
  <si>
    <t>Investissements (HT) total</t>
  </si>
  <si>
    <t>TVA déductible sur immo</t>
  </si>
  <si>
    <t>Investissements (TTC)</t>
  </si>
  <si>
    <t>Décaissements investissements (TTC)</t>
  </si>
  <si>
    <t>TVA déductible achats</t>
  </si>
  <si>
    <t>TVA déductible autres (fixes+immo)</t>
  </si>
  <si>
    <t>TVA nette</t>
  </si>
  <si>
    <t>TVA à payer (décaissement, lag 1 mois)</t>
  </si>
  <si>
    <t>Trésorerie début de mois</t>
  </si>
  <si>
    <t>Encaissements (clients TTC)</t>
  </si>
  <si>
    <t>Décaissements (total)</t>
  </si>
  <si>
    <t>Solde mensuel</t>
  </si>
  <si>
    <t>Trésorerie fin de mois</t>
  </si>
  <si>
    <t>ANNEE 1</t>
  </si>
  <si>
    <t>Budget de ventes N</t>
  </si>
  <si>
    <t>Budget de achats N</t>
  </si>
  <si>
    <t>Budget de production N</t>
  </si>
  <si>
    <t>Budget des autres frais, de l'IS et de l'emprunt N</t>
  </si>
  <si>
    <t>Budget des investissements 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</si>
</sst>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3" formatCode="_-* #,##0.00_-;\-* #,##0.00_-;_-* &quot;-&quot;??_-;_-@_-"/>
    <numFmt numFmtId="164" formatCode="_(* #,##0.00_);_(* \(#,##0.00\);_(* &quot;-&quot;??_);_(@_)"/>
    <numFmt numFmtId="165" formatCode="_-* #,##0_-;\-* #,##0_-;_-* &quot;-&quot;??_-;_-@_-"/>
    <numFmt numFmtId="166" formatCode="_ * #,##0_)_ ;_ * \(#,##0\)_ ;_ * &quot;-&quot;??_)_ ;_ @_ "/>
    <numFmt numFmtId="167" formatCode="_(* #,##0_);_(* \(#,##0\);_(* &quot;-&quot;??_);_(@_)"/>
    <numFmt numFmtId="168" formatCode="_(* #,##0.000000_);_(* \(#,##0.000000\);_(* &quot;-&quot;??_);_(@_)"/>
    <numFmt numFmtId="169" formatCode="_(* #,##0.0000_);_(* \(#,##0.0000\);_(* &quot;-&quot;??_);_(@_)"/>
    <numFmt numFmtId="170" formatCode="_(* #,##0.00000000_);_(* \(#,##0.00000000\);_(* &quot;-&quot;??_);_(@_)"/>
    <numFmt numFmtId="171" formatCode="#\ ##0&quot; €&quot;"/>
    <numFmt numFmtId="172" formatCode="#\ ##0.00&quot; €&quot;"/>
  </numFmts>
  <fonts count="2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rgb="FFFFFFFF"/>
      <name val="Aptos Narrow"/>
      <family val="2"/>
      <scheme val="minor"/>
    </font>
    <font>
      <b/>
      <sz val="11"/>
      <color rgb="FF000000"/>
      <name val="Aptos Narrow"/>
      <family val="2"/>
      <scheme val="minor"/>
    </font>
    <font>
      <sz val="11"/>
      <color rgb="FF000000"/>
      <name val="Aptos Narrow"/>
      <family val="2"/>
      <scheme val="minor"/>
    </font>
    <font>
      <b/>
      <sz val="11"/>
      <color rgb="FF00B050"/>
      <name val="Aptos Narrow"/>
      <family val="2"/>
      <scheme val="minor"/>
    </font>
    <font>
      <sz val="9"/>
      <color theme="1"/>
      <name val="Helvetica"/>
    </font>
    <font>
      <b/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b/>
      <sz val="22"/>
      <color theme="1"/>
      <name val="Aptos Narrow"/>
      <family val="2"/>
      <scheme val="minor"/>
    </font>
    <font>
      <b/>
      <sz val="11"/>
      <color theme="2" tint="-0.749992370372631"/>
      <name val="Aptos Narrow"/>
      <family val="2"/>
      <scheme val="minor"/>
    </font>
    <font>
      <sz val="11"/>
      <color theme="1"/>
      <name val="Aptos Narrow"/>
      <family val="2"/>
    </font>
    <font>
      <sz val="11"/>
      <color theme="0"/>
      <name val="Aptos Narrow"/>
      <family val="2"/>
      <scheme val="minor"/>
    </font>
    <font>
      <sz val="11"/>
      <color theme="3" tint="9.9978637043366805E-2"/>
      <name val="Aptos Narrow"/>
      <family val="2"/>
      <scheme val="minor"/>
    </font>
    <font>
      <b/>
      <sz val="35"/>
      <color theme="1"/>
      <name val="Aptos Narrow"/>
      <family val="2"/>
      <scheme val="minor"/>
    </font>
    <font>
      <b/>
      <sz val="14"/>
      <color rgb="FFFFFFFF"/>
      <name val="Calibri"/>
    </font>
    <font>
      <sz val="11"/>
      <name val="Calibri"/>
      <family val="2"/>
    </font>
    <font>
      <b/>
      <sz val="11"/>
      <name val="Calibri"/>
      <family val="2"/>
    </font>
    <font>
      <b/>
      <sz val="14"/>
      <color rgb="FFFFFFFF"/>
      <name val="Calibri"/>
      <family val="2"/>
    </font>
    <font>
      <sz val="11"/>
      <color rgb="FF0000FF"/>
      <name val="Calibri"/>
      <family val="2"/>
    </font>
  </fonts>
  <fills count="17">
    <fill>
      <patternFill patternType="none"/>
    </fill>
    <fill>
      <patternFill patternType="gray125"/>
    </fill>
    <fill>
      <patternFill patternType="solid">
        <fgColor rgb="FFC6EFCE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3" tint="9.9978637043366805E-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1F4E79"/>
      </patternFill>
    </fill>
    <fill>
      <patternFill patternType="solid">
        <fgColor rgb="FFFFF2CC"/>
      </patternFill>
    </fill>
    <fill>
      <patternFill patternType="solid">
        <fgColor rgb="FFD9E1F2"/>
      </patternFill>
    </fill>
  </fills>
  <borders count="3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thin">
        <color rgb="FF505050"/>
      </left>
      <right/>
      <top/>
      <bottom/>
      <diagonal/>
    </border>
    <border>
      <left/>
      <right style="thin">
        <color rgb="FF505050"/>
      </right>
      <top/>
      <bottom/>
      <diagonal/>
    </border>
    <border>
      <left style="thin">
        <color rgb="FF505050"/>
      </left>
      <right style="thin">
        <color rgb="FF50505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50505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505050"/>
      </left>
      <right style="thin">
        <color rgb="FF505050"/>
      </right>
      <top style="thin">
        <color rgb="FF505050"/>
      </top>
      <bottom/>
      <diagonal/>
    </border>
    <border>
      <left style="thin">
        <color rgb="FF505050"/>
      </left>
      <right style="thin">
        <color rgb="FF505050"/>
      </right>
      <top/>
      <bottom style="thin">
        <color rgb="FF505050"/>
      </bottom>
      <diagonal/>
    </border>
    <border>
      <left style="thin">
        <color rgb="FF505050"/>
      </left>
      <right/>
      <top style="thin">
        <color rgb="FF505050"/>
      </top>
      <bottom style="thin">
        <color rgb="FF505050"/>
      </bottom>
      <diagonal/>
    </border>
    <border>
      <left/>
      <right style="thin">
        <color rgb="FF505050"/>
      </right>
      <top style="thin">
        <color rgb="FF505050"/>
      </top>
      <bottom style="thin">
        <color rgb="FF505050"/>
      </bottom>
      <diagonal/>
    </border>
    <border>
      <left/>
      <right/>
      <top/>
      <bottom style="thin">
        <color rgb="FF505050"/>
      </bottom>
      <diagonal/>
    </border>
    <border>
      <left/>
      <right/>
      <top style="thin">
        <color rgb="FF505050"/>
      </top>
      <bottom/>
      <diagonal/>
    </border>
    <border>
      <left style="thin">
        <color rgb="FF505050"/>
      </left>
      <right style="thin">
        <color rgb="FF505050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505050"/>
      </left>
      <right/>
      <top/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9E9E9E"/>
      </left>
      <right style="thin">
        <color rgb="FF9E9E9E"/>
      </right>
      <top style="thin">
        <color rgb="FF9E9E9E"/>
      </top>
      <bottom style="thin">
        <color rgb="FF9E9E9E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99">
    <xf numFmtId="0" fontId="0" fillId="0" borderId="0" xfId="0"/>
    <xf numFmtId="0" fontId="3" fillId="0" borderId="5" xfId="0" applyFont="1" applyBorder="1" applyAlignment="1">
      <alignment wrapText="1"/>
    </xf>
    <xf numFmtId="0" fontId="4" fillId="0" borderId="5" xfId="0" applyFont="1" applyBorder="1" applyAlignment="1">
      <alignment wrapText="1"/>
    </xf>
    <xf numFmtId="3" fontId="4" fillId="0" borderId="6" xfId="0" applyNumberFormat="1" applyFont="1" applyBorder="1" applyAlignment="1">
      <alignment wrapText="1"/>
    </xf>
    <xf numFmtId="0" fontId="4" fillId="0" borderId="6" xfId="0" applyFont="1" applyBorder="1" applyAlignment="1">
      <alignment wrapText="1"/>
    </xf>
    <xf numFmtId="3" fontId="3" fillId="0" borderId="5" xfId="0" applyNumberFormat="1" applyFont="1" applyBorder="1" applyAlignment="1">
      <alignment wrapText="1"/>
    </xf>
    <xf numFmtId="3" fontId="4" fillId="0" borderId="5" xfId="0" applyNumberFormat="1" applyFont="1" applyBorder="1" applyAlignment="1">
      <alignment wrapText="1"/>
    </xf>
    <xf numFmtId="0" fontId="4" fillId="0" borderId="0" xfId="0" applyFont="1" applyAlignment="1">
      <alignment wrapText="1"/>
    </xf>
    <xf numFmtId="0" fontId="4" fillId="0" borderId="3" xfId="0" applyFont="1" applyBorder="1" applyAlignment="1">
      <alignment wrapText="1"/>
    </xf>
    <xf numFmtId="165" fontId="0" fillId="0" borderId="3" xfId="1" applyNumberFormat="1" applyFont="1" applyBorder="1"/>
    <xf numFmtId="0" fontId="3" fillId="0" borderId="3" xfId="0" applyFont="1" applyBorder="1" applyAlignment="1">
      <alignment wrapText="1"/>
    </xf>
    <xf numFmtId="3" fontId="3" fillId="0" borderId="6" xfId="0" applyNumberFormat="1" applyFont="1" applyBorder="1" applyAlignment="1">
      <alignment wrapText="1"/>
    </xf>
    <xf numFmtId="0" fontId="0" fillId="0" borderId="12" xfId="0" applyBorder="1"/>
    <xf numFmtId="0" fontId="0" fillId="0" borderId="14" xfId="0" applyBorder="1"/>
    <xf numFmtId="3" fontId="5" fillId="2" borderId="0" xfId="0" applyNumberFormat="1" applyFont="1" applyFill="1" applyAlignment="1">
      <alignment wrapText="1"/>
    </xf>
    <xf numFmtId="2" fontId="0" fillId="0" borderId="0" xfId="0" applyNumberFormat="1"/>
    <xf numFmtId="165" fontId="7" fillId="0" borderId="3" xfId="1" applyNumberFormat="1" applyFont="1" applyBorder="1"/>
    <xf numFmtId="166" fontId="4" fillId="0" borderId="6" xfId="0" applyNumberFormat="1" applyFont="1" applyBorder="1" applyAlignment="1">
      <alignment wrapText="1"/>
    </xf>
    <xf numFmtId="166" fontId="4" fillId="0" borderId="5" xfId="0" applyNumberFormat="1" applyFont="1" applyBorder="1" applyAlignment="1">
      <alignment wrapText="1"/>
    </xf>
    <xf numFmtId="1" fontId="0" fillId="0" borderId="0" xfId="0" applyNumberFormat="1"/>
    <xf numFmtId="167" fontId="0" fillId="0" borderId="0" xfId="1" applyNumberFormat="1" applyFont="1"/>
    <xf numFmtId="167" fontId="0" fillId="0" borderId="3" xfId="1" applyNumberFormat="1" applyFont="1" applyBorder="1"/>
    <xf numFmtId="167" fontId="0" fillId="0" borderId="1" xfId="1" applyNumberFormat="1" applyFont="1" applyBorder="1"/>
    <xf numFmtId="167" fontId="0" fillId="0" borderId="9" xfId="1" applyNumberFormat="1" applyFont="1" applyBorder="1"/>
    <xf numFmtId="167" fontId="4" fillId="0" borderId="3" xfId="1" applyNumberFormat="1" applyFont="1" applyBorder="1"/>
    <xf numFmtId="167" fontId="0" fillId="0" borderId="20" xfId="1" applyNumberFormat="1" applyFont="1" applyBorder="1"/>
    <xf numFmtId="167" fontId="4" fillId="0" borderId="9" xfId="1" applyNumberFormat="1" applyFont="1" applyBorder="1"/>
    <xf numFmtId="167" fontId="0" fillId="0" borderId="21" xfId="1" applyNumberFormat="1" applyFont="1" applyBorder="1"/>
    <xf numFmtId="167" fontId="4" fillId="0" borderId="18" xfId="1" applyNumberFormat="1" applyFont="1" applyBorder="1"/>
    <xf numFmtId="167" fontId="4" fillId="0" borderId="7" xfId="1" applyNumberFormat="1" applyFont="1" applyBorder="1"/>
    <xf numFmtId="167" fontId="4" fillId="0" borderId="5" xfId="1" applyNumberFormat="1" applyFont="1" applyBorder="1"/>
    <xf numFmtId="167" fontId="0" fillId="0" borderId="18" xfId="1" applyNumberFormat="1" applyFont="1" applyBorder="1"/>
    <xf numFmtId="167" fontId="0" fillId="0" borderId="19" xfId="1" applyNumberFormat="1" applyFont="1" applyBorder="1"/>
    <xf numFmtId="0" fontId="3" fillId="4" borderId="3" xfId="0" applyFont="1" applyFill="1" applyBorder="1" applyAlignment="1">
      <alignment wrapText="1"/>
    </xf>
    <xf numFmtId="167" fontId="0" fillId="0" borderId="11" xfId="1" applyNumberFormat="1" applyFont="1" applyBorder="1"/>
    <xf numFmtId="167" fontId="0" fillId="0" borderId="11" xfId="1" applyNumberFormat="1" applyFont="1" applyFill="1" applyBorder="1"/>
    <xf numFmtId="167" fontId="9" fillId="3" borderId="0" xfId="1" applyNumberFormat="1" applyFont="1" applyFill="1" applyAlignment="1">
      <alignment horizontal="left"/>
    </xf>
    <xf numFmtId="167" fontId="0" fillId="0" borderId="23" xfId="1" applyNumberFormat="1" applyFont="1" applyBorder="1"/>
    <xf numFmtId="167" fontId="7" fillId="0" borderId="11" xfId="1" applyNumberFormat="1" applyFont="1" applyFill="1" applyBorder="1" applyAlignment="1"/>
    <xf numFmtId="167" fontId="0" fillId="0" borderId="11" xfId="1" applyNumberFormat="1" applyFont="1" applyFill="1" applyBorder="1" applyAlignment="1"/>
    <xf numFmtId="167" fontId="7" fillId="0" borderId="11" xfId="1" applyNumberFormat="1" applyFont="1" applyFill="1" applyBorder="1" applyAlignment="1">
      <alignment vertical="center"/>
    </xf>
    <xf numFmtId="167" fontId="0" fillId="0" borderId="11" xfId="1" applyNumberFormat="1" applyFont="1" applyFill="1" applyBorder="1" applyAlignment="1">
      <alignment vertical="center"/>
    </xf>
    <xf numFmtId="167" fontId="0" fillId="0" borderId="22" xfId="1" applyNumberFormat="1" applyFont="1" applyFill="1" applyBorder="1" applyAlignment="1">
      <alignment horizontal="center" vertical="center"/>
    </xf>
    <xf numFmtId="167" fontId="0" fillId="0" borderId="23" xfId="1" applyNumberFormat="1" applyFont="1" applyFill="1" applyBorder="1" applyAlignment="1">
      <alignment horizontal="center" vertical="center"/>
    </xf>
    <xf numFmtId="167" fontId="0" fillId="0" borderId="22" xfId="1" applyNumberFormat="1" applyFont="1" applyFill="1" applyBorder="1" applyAlignment="1">
      <alignment horizontal="left"/>
    </xf>
    <xf numFmtId="167" fontId="0" fillId="0" borderId="23" xfId="1" applyNumberFormat="1" applyFont="1" applyFill="1" applyBorder="1" applyAlignment="1">
      <alignment horizontal="left"/>
    </xf>
    <xf numFmtId="167" fontId="0" fillId="3" borderId="23" xfId="1" applyNumberFormat="1" applyFont="1" applyFill="1" applyBorder="1" applyAlignment="1">
      <alignment horizontal="left" vertical="center"/>
    </xf>
    <xf numFmtId="167" fontId="0" fillId="0" borderId="11" xfId="1" applyNumberFormat="1" applyFont="1" applyBorder="1" applyAlignment="1">
      <alignment horizontal="left"/>
    </xf>
    <xf numFmtId="167" fontId="0" fillId="0" borderId="11" xfId="1" applyNumberFormat="1" applyFont="1" applyBorder="1" applyAlignment="1">
      <alignment horizontal="center"/>
    </xf>
    <xf numFmtId="165" fontId="7" fillId="4" borderId="3" xfId="1" applyNumberFormat="1" applyFont="1" applyFill="1" applyBorder="1"/>
    <xf numFmtId="0" fontId="8" fillId="5" borderId="3" xfId="0" applyFont="1" applyFill="1" applyBorder="1" applyAlignment="1">
      <alignment wrapText="1"/>
    </xf>
    <xf numFmtId="165" fontId="8" fillId="5" borderId="3" xfId="1" applyNumberFormat="1" applyFont="1" applyFill="1" applyBorder="1"/>
    <xf numFmtId="0" fontId="3" fillId="4" borderId="15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wrapText="1"/>
    </xf>
    <xf numFmtId="0" fontId="3" fillId="4" borderId="11" xfId="0" applyFont="1" applyFill="1" applyBorder="1" applyAlignment="1">
      <alignment horizontal="center" wrapText="1"/>
    </xf>
    <xf numFmtId="0" fontId="2" fillId="5" borderId="7" xfId="0" applyFont="1" applyFill="1" applyBorder="1" applyAlignment="1">
      <alignment wrapText="1"/>
    </xf>
    <xf numFmtId="3" fontId="2" fillId="5" borderId="7" xfId="0" applyNumberFormat="1" applyFont="1" applyFill="1" applyBorder="1" applyAlignment="1">
      <alignment wrapText="1"/>
    </xf>
    <xf numFmtId="3" fontId="2" fillId="5" borderId="8" xfId="0" applyNumberFormat="1" applyFont="1" applyFill="1" applyBorder="1" applyAlignment="1">
      <alignment wrapText="1"/>
    </xf>
    <xf numFmtId="167" fontId="8" fillId="5" borderId="11" xfId="1" applyNumberFormat="1" applyFont="1" applyFill="1" applyBorder="1" applyAlignment="1">
      <alignment horizontal="center"/>
    </xf>
    <xf numFmtId="167" fontId="7" fillId="4" borderId="11" xfId="1" applyNumberFormat="1" applyFont="1" applyFill="1" applyBorder="1"/>
    <xf numFmtId="167" fontId="7" fillId="6" borderId="11" xfId="1" applyNumberFormat="1" applyFont="1" applyFill="1" applyBorder="1" applyAlignment="1">
      <alignment vertical="center"/>
    </xf>
    <xf numFmtId="167" fontId="7" fillId="6" borderId="11" xfId="1" applyNumberFormat="1" applyFont="1" applyFill="1" applyBorder="1"/>
    <xf numFmtId="3" fontId="0" fillId="0" borderId="0" xfId="0" applyNumberFormat="1"/>
    <xf numFmtId="3" fontId="0" fillId="0" borderId="14" xfId="0" applyNumberFormat="1" applyBorder="1"/>
    <xf numFmtId="1" fontId="4" fillId="0" borderId="6" xfId="0" applyNumberFormat="1" applyFont="1" applyBorder="1" applyAlignment="1">
      <alignment wrapText="1"/>
    </xf>
    <xf numFmtId="1" fontId="3" fillId="0" borderId="6" xfId="0" applyNumberFormat="1" applyFont="1" applyBorder="1" applyAlignment="1">
      <alignment wrapText="1"/>
    </xf>
    <xf numFmtId="166" fontId="3" fillId="4" borderId="3" xfId="0" applyNumberFormat="1" applyFont="1" applyFill="1" applyBorder="1" applyAlignment="1">
      <alignment wrapText="1"/>
    </xf>
    <xf numFmtId="166" fontId="3" fillId="4" borderId="15" xfId="0" applyNumberFormat="1" applyFont="1" applyFill="1" applyBorder="1" applyAlignment="1">
      <alignment horizontal="center" wrapText="1"/>
    </xf>
    <xf numFmtId="166" fontId="3" fillId="4" borderId="1" xfId="0" applyNumberFormat="1" applyFont="1" applyFill="1" applyBorder="1" applyAlignment="1">
      <alignment wrapText="1"/>
    </xf>
    <xf numFmtId="166" fontId="3" fillId="4" borderId="11" xfId="0" applyNumberFormat="1" applyFont="1" applyFill="1" applyBorder="1" applyAlignment="1">
      <alignment horizontal="center" wrapText="1"/>
    </xf>
    <xf numFmtId="166" fontId="3" fillId="0" borderId="5" xfId="0" applyNumberFormat="1" applyFont="1" applyBorder="1" applyAlignment="1">
      <alignment wrapText="1"/>
    </xf>
    <xf numFmtId="166" fontId="3" fillId="0" borderId="6" xfId="0" applyNumberFormat="1" applyFont="1" applyBorder="1" applyAlignment="1">
      <alignment wrapText="1"/>
    </xf>
    <xf numFmtId="166" fontId="0" fillId="0" borderId="12" xfId="0" applyNumberFormat="1" applyBorder="1"/>
    <xf numFmtId="166" fontId="0" fillId="0" borderId="14" xfId="0" applyNumberFormat="1" applyBorder="1"/>
    <xf numFmtId="166" fontId="0" fillId="0" borderId="0" xfId="0" applyNumberFormat="1"/>
    <xf numFmtId="166" fontId="2" fillId="5" borderId="7" xfId="0" applyNumberFormat="1" applyFont="1" applyFill="1" applyBorder="1" applyAlignment="1">
      <alignment wrapText="1"/>
    </xf>
    <xf numFmtId="166" fontId="2" fillId="5" borderId="8" xfId="0" applyNumberFormat="1" applyFont="1" applyFill="1" applyBorder="1" applyAlignment="1">
      <alignment wrapText="1"/>
    </xf>
    <xf numFmtId="0" fontId="8" fillId="5" borderId="18" xfId="0" applyFont="1" applyFill="1" applyBorder="1" applyAlignment="1">
      <alignment wrapText="1"/>
    </xf>
    <xf numFmtId="165" fontId="8" fillId="5" borderId="18" xfId="1" applyNumberFormat="1" applyFont="1" applyFill="1" applyBorder="1"/>
    <xf numFmtId="0" fontId="8" fillId="0" borderId="27" xfId="0" applyFont="1" applyBorder="1" applyAlignment="1">
      <alignment wrapText="1"/>
    </xf>
    <xf numFmtId="165" fontId="8" fillId="0" borderId="27" xfId="1" applyNumberFormat="1" applyFont="1" applyFill="1" applyBorder="1"/>
    <xf numFmtId="167" fontId="7" fillId="4" borderId="22" xfId="1" applyNumberFormat="1" applyFont="1" applyFill="1" applyBorder="1"/>
    <xf numFmtId="167" fontId="7" fillId="6" borderId="22" xfId="1" applyNumberFormat="1" applyFont="1" applyFill="1" applyBorder="1" applyAlignment="1">
      <alignment vertical="center"/>
    </xf>
    <xf numFmtId="167" fontId="7" fillId="6" borderId="22" xfId="1" applyNumberFormat="1" applyFont="1" applyFill="1" applyBorder="1"/>
    <xf numFmtId="167" fontId="0" fillId="0" borderId="22" xfId="1" applyNumberFormat="1" applyFont="1" applyBorder="1"/>
    <xf numFmtId="0" fontId="0" fillId="0" borderId="9" xfId="0" applyBorder="1"/>
    <xf numFmtId="3" fontId="0" fillId="0" borderId="11" xfId="0" applyNumberFormat="1" applyBorder="1"/>
    <xf numFmtId="0" fontId="0" fillId="0" borderId="11" xfId="0" applyBorder="1"/>
    <xf numFmtId="0" fontId="7" fillId="4" borderId="11" xfId="0" applyFont="1" applyFill="1" applyBorder="1"/>
    <xf numFmtId="3" fontId="7" fillId="4" borderId="11" xfId="0" applyNumberFormat="1" applyFont="1" applyFill="1" applyBorder="1"/>
    <xf numFmtId="3" fontId="0" fillId="7" borderId="11" xfId="0" applyNumberFormat="1" applyFill="1" applyBorder="1"/>
    <xf numFmtId="3" fontId="0" fillId="8" borderId="11" xfId="0" applyNumberFormat="1" applyFill="1" applyBorder="1"/>
    <xf numFmtId="0" fontId="0" fillId="0" borderId="10" xfId="0" applyBorder="1"/>
    <xf numFmtId="3" fontId="7" fillId="0" borderId="0" xfId="0" applyNumberFormat="1" applyFont="1"/>
    <xf numFmtId="167" fontId="8" fillId="0" borderId="0" xfId="1" applyNumberFormat="1" applyFont="1" applyAlignment="1">
      <alignment horizontal="center" vertical="center"/>
    </xf>
    <xf numFmtId="3" fontId="7" fillId="0" borderId="12" xfId="0" applyNumberFormat="1" applyFont="1" applyBorder="1"/>
    <xf numFmtId="3" fontId="0" fillId="0" borderId="12" xfId="0" applyNumberFormat="1" applyBorder="1"/>
    <xf numFmtId="1" fontId="3" fillId="4" borderId="3" xfId="0" applyNumberFormat="1" applyFont="1" applyFill="1" applyBorder="1" applyAlignment="1">
      <alignment wrapText="1"/>
    </xf>
    <xf numFmtId="1" fontId="3" fillId="4" borderId="15" xfId="0" applyNumberFormat="1" applyFont="1" applyFill="1" applyBorder="1" applyAlignment="1">
      <alignment horizontal="center" wrapText="1"/>
    </xf>
    <xf numFmtId="1" fontId="3" fillId="4" borderId="1" xfId="0" applyNumberFormat="1" applyFont="1" applyFill="1" applyBorder="1" applyAlignment="1">
      <alignment wrapText="1"/>
    </xf>
    <xf numFmtId="1" fontId="3" fillId="4" borderId="11" xfId="0" applyNumberFormat="1" applyFont="1" applyFill="1" applyBorder="1" applyAlignment="1">
      <alignment horizontal="center" wrapText="1"/>
    </xf>
    <xf numFmtId="1" fontId="3" fillId="0" borderId="5" xfId="0" applyNumberFormat="1" applyFont="1" applyBorder="1" applyAlignment="1">
      <alignment wrapText="1"/>
    </xf>
    <xf numFmtId="1" fontId="4" fillId="0" borderId="5" xfId="0" applyNumberFormat="1" applyFont="1" applyBorder="1" applyAlignment="1">
      <alignment wrapText="1"/>
    </xf>
    <xf numFmtId="1" fontId="0" fillId="0" borderId="12" xfId="0" applyNumberFormat="1" applyBorder="1"/>
    <xf numFmtId="1" fontId="0" fillId="0" borderId="14" xfId="0" applyNumberFormat="1" applyBorder="1"/>
    <xf numFmtId="1" fontId="2" fillId="5" borderId="7" xfId="0" applyNumberFormat="1" applyFont="1" applyFill="1" applyBorder="1" applyAlignment="1">
      <alignment wrapText="1"/>
    </xf>
    <xf numFmtId="1" fontId="2" fillId="5" borderId="8" xfId="0" applyNumberFormat="1" applyFont="1" applyFill="1" applyBorder="1" applyAlignment="1">
      <alignment wrapText="1"/>
    </xf>
    <xf numFmtId="3" fontId="3" fillId="4" borderId="3" xfId="0" applyNumberFormat="1" applyFont="1" applyFill="1" applyBorder="1" applyAlignment="1">
      <alignment wrapText="1"/>
    </xf>
    <xf numFmtId="3" fontId="3" fillId="4" borderId="15" xfId="0" applyNumberFormat="1" applyFont="1" applyFill="1" applyBorder="1" applyAlignment="1">
      <alignment horizontal="center" wrapText="1"/>
    </xf>
    <xf numFmtId="3" fontId="3" fillId="4" borderId="1" xfId="0" applyNumberFormat="1" applyFont="1" applyFill="1" applyBorder="1" applyAlignment="1">
      <alignment wrapText="1"/>
    </xf>
    <xf numFmtId="3" fontId="3" fillId="4" borderId="11" xfId="0" applyNumberFormat="1" applyFont="1" applyFill="1" applyBorder="1" applyAlignment="1">
      <alignment horizontal="center" wrapText="1"/>
    </xf>
    <xf numFmtId="3" fontId="4" fillId="0" borderId="0" xfId="0" applyNumberFormat="1" applyFont="1" applyAlignment="1">
      <alignment wrapText="1"/>
    </xf>
    <xf numFmtId="167" fontId="8" fillId="5" borderId="11" xfId="1" applyNumberFormat="1" applyFont="1" applyFill="1" applyBorder="1" applyAlignment="1">
      <alignment horizontal="center" vertical="center"/>
    </xf>
    <xf numFmtId="167" fontId="7" fillId="0" borderId="11" xfId="1" applyNumberFormat="1" applyFont="1" applyBorder="1"/>
    <xf numFmtId="167" fontId="0" fillId="0" borderId="22" xfId="1" applyNumberFormat="1" applyFont="1" applyBorder="1" applyAlignment="1">
      <alignment horizontal="left"/>
    </xf>
    <xf numFmtId="167" fontId="0" fillId="0" borderId="22" xfId="1" applyNumberFormat="1" applyFont="1" applyBorder="1" applyAlignment="1">
      <alignment horizontal="center" vertical="center"/>
    </xf>
    <xf numFmtId="167" fontId="0" fillId="0" borderId="23" xfId="1" applyNumberFormat="1" applyFont="1" applyBorder="1" applyAlignment="1">
      <alignment horizontal="left"/>
    </xf>
    <xf numFmtId="167" fontId="0" fillId="0" borderId="23" xfId="1" applyNumberFormat="1" applyFont="1" applyBorder="1" applyAlignment="1">
      <alignment horizontal="center" vertical="center"/>
    </xf>
    <xf numFmtId="167" fontId="7" fillId="0" borderId="0" xfId="1" applyNumberFormat="1" applyFont="1"/>
    <xf numFmtId="167" fontId="0" fillId="4" borderId="11" xfId="1" applyNumberFormat="1" applyFont="1" applyFill="1" applyBorder="1"/>
    <xf numFmtId="167" fontId="8" fillId="5" borderId="16" xfId="1" applyNumberFormat="1" applyFont="1" applyFill="1" applyBorder="1" applyAlignment="1">
      <alignment horizontal="center" vertical="center"/>
    </xf>
    <xf numFmtId="167" fontId="8" fillId="5" borderId="30" xfId="1" applyNumberFormat="1" applyFont="1" applyFill="1" applyBorder="1" applyAlignment="1">
      <alignment horizontal="center" vertical="center"/>
    </xf>
    <xf numFmtId="167" fontId="8" fillId="5" borderId="17" xfId="1" applyNumberFormat="1" applyFont="1" applyFill="1" applyBorder="1" applyAlignment="1">
      <alignment horizontal="center" vertical="center"/>
    </xf>
    <xf numFmtId="167" fontId="7" fillId="4" borderId="9" xfId="1" applyNumberFormat="1" applyFont="1" applyFill="1" applyBorder="1"/>
    <xf numFmtId="167" fontId="0" fillId="0" borderId="10" xfId="1" applyNumberFormat="1" applyFont="1" applyBorder="1"/>
    <xf numFmtId="3" fontId="0" fillId="0" borderId="9" xfId="0" applyNumberFormat="1" applyBorder="1"/>
    <xf numFmtId="3" fontId="0" fillId="0" borderId="10" xfId="0" applyNumberFormat="1" applyBorder="1"/>
    <xf numFmtId="3" fontId="0" fillId="0" borderId="0" xfId="1" applyNumberFormat="1" applyFont="1"/>
    <xf numFmtId="168" fontId="0" fillId="0" borderId="0" xfId="1" applyNumberFormat="1" applyFont="1"/>
    <xf numFmtId="167" fontId="0" fillId="9" borderId="0" xfId="1" applyNumberFormat="1" applyFont="1" applyFill="1"/>
    <xf numFmtId="167" fontId="7" fillId="0" borderId="3" xfId="1" applyNumberFormat="1" applyFont="1" applyBorder="1" applyAlignment="1">
      <alignment vertical="top"/>
    </xf>
    <xf numFmtId="167" fontId="7" fillId="4" borderId="3" xfId="1" applyNumberFormat="1" applyFont="1" applyFill="1" applyBorder="1"/>
    <xf numFmtId="167" fontId="0" fillId="4" borderId="3" xfId="1" applyNumberFormat="1" applyFont="1" applyFill="1" applyBorder="1"/>
    <xf numFmtId="167" fontId="8" fillId="5" borderId="3" xfId="1" applyNumberFormat="1" applyFont="1" applyFill="1" applyBorder="1" applyAlignment="1">
      <alignment horizontal="center" vertical="center"/>
    </xf>
    <xf numFmtId="167" fontId="0" fillId="0" borderId="3" xfId="1" applyNumberFormat="1" applyFont="1" applyBorder="1" applyAlignment="1">
      <alignment horizontal="right"/>
    </xf>
    <xf numFmtId="169" fontId="0" fillId="0" borderId="0" xfId="1" applyNumberFormat="1" applyFont="1"/>
    <xf numFmtId="167" fontId="7" fillId="4" borderId="7" xfId="1" applyNumberFormat="1" applyFont="1" applyFill="1" applyBorder="1"/>
    <xf numFmtId="167" fontId="15" fillId="0" borderId="0" xfId="1" applyNumberFormat="1" applyFont="1"/>
    <xf numFmtId="167" fontId="0" fillId="0" borderId="22" xfId="1" applyNumberFormat="1" applyFont="1" applyBorder="1" applyAlignment="1">
      <alignment horizontal="center"/>
    </xf>
    <xf numFmtId="167" fontId="0" fillId="0" borderId="34" xfId="1" applyNumberFormat="1" applyFont="1" applyBorder="1"/>
    <xf numFmtId="167" fontId="0" fillId="0" borderId="3" xfId="1" applyNumberFormat="1" applyFont="1" applyBorder="1" applyAlignment="1">
      <alignment horizontal="left"/>
    </xf>
    <xf numFmtId="167" fontId="0" fillId="0" borderId="3" xfId="1" applyNumberFormat="1" applyFont="1" applyBorder="1" applyAlignment="1">
      <alignment horizontal="center"/>
    </xf>
    <xf numFmtId="167" fontId="0" fillId="0" borderId="24" xfId="1" applyNumberFormat="1" applyFont="1" applyBorder="1"/>
    <xf numFmtId="167" fontId="4" fillId="0" borderId="3" xfId="1" applyNumberFormat="1" applyFont="1" applyBorder="1" applyAlignment="1">
      <alignment wrapText="1"/>
    </xf>
    <xf numFmtId="167" fontId="3" fillId="4" borderId="3" xfId="1" applyNumberFormat="1" applyFont="1" applyFill="1" applyBorder="1" applyAlignment="1">
      <alignment wrapText="1"/>
    </xf>
    <xf numFmtId="167" fontId="3" fillId="4" borderId="15" xfId="1" applyNumberFormat="1" applyFont="1" applyFill="1" applyBorder="1" applyAlignment="1">
      <alignment horizontal="center" wrapText="1"/>
    </xf>
    <xf numFmtId="167" fontId="3" fillId="4" borderId="1" xfId="1" applyNumberFormat="1" applyFont="1" applyFill="1" applyBorder="1" applyAlignment="1">
      <alignment wrapText="1"/>
    </xf>
    <xf numFmtId="167" fontId="3" fillId="4" borderId="11" xfId="1" applyNumberFormat="1" applyFont="1" applyFill="1" applyBorder="1" applyAlignment="1">
      <alignment horizontal="center" wrapText="1"/>
    </xf>
    <xf numFmtId="167" fontId="3" fillId="0" borderId="5" xfId="1" applyNumberFormat="1" applyFont="1" applyBorder="1" applyAlignment="1">
      <alignment wrapText="1"/>
    </xf>
    <xf numFmtId="167" fontId="3" fillId="0" borderId="6" xfId="1" applyNumberFormat="1" applyFont="1" applyBorder="1" applyAlignment="1">
      <alignment wrapText="1"/>
    </xf>
    <xf numFmtId="167" fontId="4" fillId="0" borderId="5" xfId="1" applyNumberFormat="1" applyFont="1" applyBorder="1" applyAlignment="1">
      <alignment wrapText="1"/>
    </xf>
    <xf numFmtId="167" fontId="4" fillId="0" borderId="6" xfId="1" applyNumberFormat="1" applyFont="1" applyBorder="1" applyAlignment="1">
      <alignment wrapText="1"/>
    </xf>
    <xf numFmtId="167" fontId="0" fillId="0" borderId="12" xfId="1" applyNumberFormat="1" applyFont="1" applyBorder="1"/>
    <xf numFmtId="167" fontId="0" fillId="0" borderId="14" xfId="1" applyNumberFormat="1" applyFont="1" applyBorder="1"/>
    <xf numFmtId="167" fontId="3" fillId="0" borderId="3" xfId="1" applyNumberFormat="1" applyFont="1" applyBorder="1" applyAlignment="1">
      <alignment wrapText="1"/>
    </xf>
    <xf numFmtId="167" fontId="7" fillId="0" borderId="3" xfId="1" applyNumberFormat="1" applyFont="1" applyBorder="1"/>
    <xf numFmtId="167" fontId="2" fillId="5" borderId="7" xfId="1" applyNumberFormat="1" applyFont="1" applyFill="1" applyBorder="1" applyAlignment="1">
      <alignment wrapText="1"/>
    </xf>
    <xf numFmtId="167" fontId="2" fillId="5" borderId="8" xfId="1" applyNumberFormat="1" applyFont="1" applyFill="1" applyBorder="1" applyAlignment="1">
      <alignment wrapText="1"/>
    </xf>
    <xf numFmtId="167" fontId="4" fillId="0" borderId="0" xfId="1" applyNumberFormat="1" applyFont="1" applyAlignment="1">
      <alignment wrapText="1"/>
    </xf>
    <xf numFmtId="167" fontId="5" fillId="2" borderId="0" xfId="1" applyNumberFormat="1" applyFont="1" applyFill="1" applyAlignment="1">
      <alignment wrapText="1"/>
    </xf>
    <xf numFmtId="167" fontId="8" fillId="5" borderId="3" xfId="1" applyNumberFormat="1" applyFont="1" applyFill="1" applyBorder="1" applyAlignment="1">
      <alignment wrapText="1"/>
    </xf>
    <xf numFmtId="167" fontId="8" fillId="5" borderId="3" xfId="1" applyNumberFormat="1" applyFont="1" applyFill="1" applyBorder="1"/>
    <xf numFmtId="167" fontId="7" fillId="0" borderId="12" xfId="1" applyNumberFormat="1" applyFont="1" applyBorder="1"/>
    <xf numFmtId="167" fontId="0" fillId="0" borderId="25" xfId="1" applyNumberFormat="1" applyFont="1" applyBorder="1" applyAlignment="1">
      <alignment horizontal="left"/>
    </xf>
    <xf numFmtId="167" fontId="8" fillId="5" borderId="22" xfId="1" applyNumberFormat="1" applyFont="1" applyFill="1" applyBorder="1" applyAlignment="1">
      <alignment horizontal="center" vertical="center"/>
    </xf>
    <xf numFmtId="167" fontId="0" fillId="0" borderId="11" xfId="1" applyNumberFormat="1" applyFont="1" applyBorder="1" applyAlignment="1">
      <alignment vertical="center"/>
    </xf>
    <xf numFmtId="167" fontId="0" fillId="10" borderId="11" xfId="1" applyNumberFormat="1" applyFont="1" applyFill="1" applyBorder="1"/>
    <xf numFmtId="167" fontId="0" fillId="4" borderId="9" xfId="1" applyNumberFormat="1" applyFont="1" applyFill="1" applyBorder="1" applyAlignment="1">
      <alignment horizontal="left"/>
    </xf>
    <xf numFmtId="167" fontId="0" fillId="4" borderId="9" xfId="1" applyNumberFormat="1" applyFont="1" applyFill="1" applyBorder="1" applyAlignment="1">
      <alignment horizontal="center" vertical="center"/>
    </xf>
    <xf numFmtId="167" fontId="0" fillId="0" borderId="25" xfId="1" applyNumberFormat="1" applyFont="1" applyBorder="1"/>
    <xf numFmtId="167" fontId="7" fillId="3" borderId="22" xfId="1" applyNumberFormat="1" applyFont="1" applyFill="1" applyBorder="1"/>
    <xf numFmtId="167" fontId="0" fillId="10" borderId="3" xfId="1" applyNumberFormat="1" applyFont="1" applyFill="1" applyBorder="1"/>
    <xf numFmtId="167" fontId="8" fillId="0" borderId="0" xfId="1" applyNumberFormat="1" applyFont="1" applyFill="1" applyBorder="1" applyAlignment="1">
      <alignment horizontal="center" vertical="center"/>
    </xf>
    <xf numFmtId="167" fontId="7" fillId="0" borderId="1" xfId="1" applyNumberFormat="1" applyFont="1" applyBorder="1" applyAlignment="1">
      <alignment vertical="top"/>
    </xf>
    <xf numFmtId="167" fontId="7" fillId="0" borderId="19" xfId="1" applyNumberFormat="1" applyFont="1" applyBorder="1" applyAlignment="1">
      <alignment vertical="top"/>
    </xf>
    <xf numFmtId="167" fontId="7" fillId="0" borderId="20" xfId="1" applyNumberFormat="1" applyFont="1" applyBorder="1"/>
    <xf numFmtId="170" fontId="0" fillId="0" borderId="0" xfId="1" applyNumberFormat="1" applyFont="1"/>
    <xf numFmtId="167" fontId="13" fillId="3" borderId="0" xfId="1" applyNumberFormat="1" applyFont="1" applyFill="1" applyAlignment="1">
      <alignment horizontal="left"/>
    </xf>
    <xf numFmtId="167" fontId="0" fillId="0" borderId="13" xfId="1" applyNumberFormat="1" applyFont="1" applyBorder="1"/>
    <xf numFmtId="167" fontId="0" fillId="0" borderId="0" xfId="1" applyNumberFormat="1" applyFont="1" applyAlignment="1">
      <alignment wrapText="1"/>
    </xf>
    <xf numFmtId="167" fontId="6" fillId="0" borderId="0" xfId="1" applyNumberFormat="1" applyFont="1" applyAlignment="1">
      <alignment wrapText="1"/>
    </xf>
    <xf numFmtId="167" fontId="8" fillId="5" borderId="3" xfId="1" applyNumberFormat="1" applyFont="1" applyFill="1" applyBorder="1" applyAlignment="1">
      <alignment horizontal="center"/>
    </xf>
    <xf numFmtId="167" fontId="8" fillId="5" borderId="18" xfId="1" applyNumberFormat="1" applyFont="1" applyFill="1" applyBorder="1" applyAlignment="1">
      <alignment wrapText="1"/>
    </xf>
    <xf numFmtId="167" fontId="8" fillId="5" borderId="18" xfId="1" applyNumberFormat="1" applyFont="1" applyFill="1" applyBorder="1"/>
    <xf numFmtId="167" fontId="7" fillId="4" borderId="3" xfId="1" applyNumberFormat="1" applyFont="1" applyFill="1" applyBorder="1" applyAlignment="1">
      <alignment horizontal="center"/>
    </xf>
    <xf numFmtId="167" fontId="0" fillId="0" borderId="0" xfId="1" applyNumberFormat="1" applyFont="1" applyAlignment="1">
      <alignment horizontal="right"/>
    </xf>
    <xf numFmtId="167" fontId="14" fillId="0" borderId="0" xfId="1" applyNumberFormat="1" applyFont="1" applyAlignment="1">
      <alignment horizontal="right"/>
    </xf>
    <xf numFmtId="167" fontId="16" fillId="5" borderId="11" xfId="1" applyNumberFormat="1" applyFont="1" applyFill="1" applyBorder="1"/>
    <xf numFmtId="167" fontId="7" fillId="4" borderId="7" xfId="1" applyNumberFormat="1" applyFont="1" applyFill="1" applyBorder="1" applyAlignment="1">
      <alignment horizontal="center"/>
    </xf>
    <xf numFmtId="167" fontId="0" fillId="5" borderId="11" xfId="1" applyNumberFormat="1" applyFont="1" applyFill="1" applyBorder="1"/>
    <xf numFmtId="0" fontId="7" fillId="0" borderId="9" xfId="0" applyFont="1" applyBorder="1"/>
    <xf numFmtId="0" fontId="7" fillId="0" borderId="10" xfId="0" applyFont="1" applyBorder="1"/>
    <xf numFmtId="167" fontId="7" fillId="6" borderId="9" xfId="1" applyNumberFormat="1" applyFont="1" applyFill="1" applyBorder="1"/>
    <xf numFmtId="167" fontId="7" fillId="6" borderId="3" xfId="1" applyNumberFormat="1" applyFont="1" applyFill="1" applyBorder="1" applyAlignment="1">
      <alignment horizontal="center"/>
    </xf>
    <xf numFmtId="167" fontId="7" fillId="0" borderId="11" xfId="1" applyNumberFormat="1" applyFont="1" applyBorder="1" applyAlignment="1">
      <alignment horizontal="center"/>
    </xf>
    <xf numFmtId="167" fontId="7" fillId="6" borderId="11" xfId="1" applyNumberFormat="1" applyFont="1" applyFill="1" applyBorder="1" applyAlignment="1">
      <alignment horizontal="left"/>
    </xf>
    <xf numFmtId="167" fontId="7" fillId="6" borderId="11" xfId="1" applyNumberFormat="1" applyFont="1" applyFill="1" applyBorder="1" applyAlignment="1">
      <alignment horizontal="center"/>
    </xf>
    <xf numFmtId="0" fontId="0" fillId="0" borderId="37" xfId="0" applyBorder="1" applyAlignment="1">
      <alignment horizontal="left" vertical="center" wrapText="1"/>
    </xf>
    <xf numFmtId="171" fontId="19" fillId="3" borderId="37" xfId="0" applyNumberFormat="1" applyFont="1" applyFill="1" applyBorder="1" applyAlignment="1">
      <alignment horizontal="right" vertical="center" wrapText="1"/>
    </xf>
    <xf numFmtId="10" fontId="19" fillId="3" borderId="37" xfId="0" applyNumberFormat="1" applyFont="1" applyFill="1" applyBorder="1" applyAlignment="1">
      <alignment horizontal="right" vertical="center" wrapText="1"/>
    </xf>
    <xf numFmtId="1" fontId="19" fillId="3" borderId="37" xfId="0" applyNumberFormat="1" applyFont="1" applyFill="1" applyBorder="1" applyAlignment="1">
      <alignment horizontal="right" vertical="center" wrapText="1"/>
    </xf>
    <xf numFmtId="172" fontId="19" fillId="3" borderId="37" xfId="0" applyNumberFormat="1" applyFont="1" applyFill="1" applyBorder="1" applyAlignment="1">
      <alignment horizontal="right" vertical="center" wrapText="1"/>
    </xf>
    <xf numFmtId="0" fontId="0" fillId="3" borderId="37" xfId="0" applyFill="1" applyBorder="1" applyAlignment="1">
      <alignment horizontal="left" vertical="center" wrapText="1"/>
    </xf>
    <xf numFmtId="0" fontId="20" fillId="16" borderId="37" xfId="0" applyFont="1" applyFill="1" applyBorder="1" applyAlignment="1">
      <alignment horizontal="center" vertical="center" wrapText="1"/>
    </xf>
    <xf numFmtId="0" fontId="20" fillId="0" borderId="37" xfId="0" applyFont="1" applyBorder="1" applyAlignment="1">
      <alignment horizontal="left" vertical="center" wrapText="1"/>
    </xf>
    <xf numFmtId="167" fontId="7" fillId="4" borderId="0" xfId="1" applyNumberFormat="1" applyFont="1" applyFill="1" applyBorder="1"/>
    <xf numFmtId="167" fontId="7" fillId="6" borderId="0" xfId="1" applyNumberFormat="1" applyFont="1" applyFill="1" applyBorder="1" applyAlignment="1">
      <alignment vertical="center"/>
    </xf>
    <xf numFmtId="167" fontId="7" fillId="6" borderId="0" xfId="1" applyNumberFormat="1" applyFont="1" applyFill="1" applyBorder="1"/>
    <xf numFmtId="171" fontId="22" fillId="15" borderId="37" xfId="0" applyNumberFormat="1" applyFont="1" applyFill="1" applyBorder="1" applyAlignment="1">
      <alignment horizontal="right" vertical="center" wrapText="1"/>
    </xf>
    <xf numFmtId="10" fontId="22" fillId="15" borderId="37" xfId="0" applyNumberFormat="1" applyFont="1" applyFill="1" applyBorder="1" applyAlignment="1">
      <alignment horizontal="right" vertical="center" wrapText="1"/>
    </xf>
    <xf numFmtId="1" fontId="22" fillId="15" borderId="37" xfId="0" applyNumberFormat="1" applyFont="1" applyFill="1" applyBorder="1" applyAlignment="1">
      <alignment horizontal="right" vertical="center" wrapText="1"/>
    </xf>
    <xf numFmtId="172" fontId="22" fillId="15" borderId="37" xfId="0" applyNumberFormat="1" applyFont="1" applyFill="1" applyBorder="1" applyAlignment="1">
      <alignment horizontal="right" vertical="center" wrapText="1"/>
    </xf>
    <xf numFmtId="167" fontId="12" fillId="0" borderId="3" xfId="1" applyNumberFormat="1" applyFont="1" applyBorder="1" applyAlignment="1">
      <alignment horizontal="center"/>
    </xf>
    <xf numFmtId="167" fontId="0" fillId="5" borderId="22" xfId="1" applyNumberFormat="1" applyFont="1" applyFill="1" applyBorder="1" applyAlignment="1">
      <alignment horizontal="center"/>
    </xf>
    <xf numFmtId="167" fontId="0" fillId="5" borderId="23" xfId="1" applyNumberFormat="1" applyFont="1" applyFill="1" applyBorder="1" applyAlignment="1">
      <alignment horizontal="center"/>
    </xf>
    <xf numFmtId="167" fontId="8" fillId="5" borderId="22" xfId="1" applyNumberFormat="1" applyFont="1" applyFill="1" applyBorder="1" applyAlignment="1">
      <alignment horizontal="center" vertical="center"/>
    </xf>
    <xf numFmtId="167" fontId="8" fillId="5" borderId="23" xfId="1" applyNumberFormat="1" applyFont="1" applyFill="1" applyBorder="1" applyAlignment="1">
      <alignment horizontal="center" vertical="center"/>
    </xf>
    <xf numFmtId="167" fontId="0" fillId="0" borderId="0" xfId="1" applyNumberFormat="1" applyFont="1" applyAlignment="1"/>
    <xf numFmtId="167" fontId="13" fillId="0" borderId="26" xfId="1" applyNumberFormat="1" applyFont="1" applyFill="1" applyBorder="1" applyAlignment="1">
      <alignment horizontal="left"/>
    </xf>
    <xf numFmtId="167" fontId="13" fillId="3" borderId="0" xfId="1" applyNumberFormat="1" applyFont="1" applyFill="1" applyAlignment="1">
      <alignment horizontal="left"/>
    </xf>
    <xf numFmtId="167" fontId="8" fillId="5" borderId="24" xfId="1" applyNumberFormat="1" applyFont="1" applyFill="1" applyBorder="1" applyAlignment="1">
      <alignment horizontal="center"/>
    </xf>
    <xf numFmtId="167" fontId="8" fillId="5" borderId="25" xfId="1" applyNumberFormat="1" applyFont="1" applyFill="1" applyBorder="1" applyAlignment="1">
      <alignment horizontal="center"/>
    </xf>
    <xf numFmtId="167" fontId="8" fillId="5" borderId="3" xfId="1" applyNumberFormat="1" applyFont="1" applyFill="1" applyBorder="1" applyAlignment="1">
      <alignment horizontal="center"/>
    </xf>
    <xf numFmtId="167" fontId="2" fillId="5" borderId="19" xfId="1" applyNumberFormat="1" applyFont="1" applyFill="1" applyBorder="1" applyAlignment="1">
      <alignment horizontal="center" wrapText="1"/>
    </xf>
    <xf numFmtId="167" fontId="2" fillId="5" borderId="4" xfId="1" applyNumberFormat="1" applyFont="1" applyFill="1" applyBorder="1" applyAlignment="1">
      <alignment horizontal="center" wrapText="1"/>
    </xf>
    <xf numFmtId="167" fontId="7" fillId="0" borderId="1" xfId="1" applyNumberFormat="1" applyFont="1" applyBorder="1" applyAlignment="1">
      <alignment horizontal="center"/>
    </xf>
    <xf numFmtId="167" fontId="7" fillId="0" borderId="21" xfId="1" applyNumberFormat="1" applyFont="1" applyBorder="1" applyAlignment="1">
      <alignment horizontal="center"/>
    </xf>
    <xf numFmtId="167" fontId="13" fillId="0" borderId="26" xfId="1" applyNumberFormat="1" applyFont="1" applyBorder="1" applyAlignment="1">
      <alignment horizontal="left"/>
    </xf>
    <xf numFmtId="167" fontId="8" fillId="5" borderId="1" xfId="1" applyNumberFormat="1" applyFont="1" applyFill="1" applyBorder="1" applyAlignment="1">
      <alignment horizontal="center"/>
    </xf>
    <xf numFmtId="167" fontId="8" fillId="5" borderId="21" xfId="1" applyNumberFormat="1" applyFont="1" applyFill="1" applyBorder="1" applyAlignment="1">
      <alignment horizontal="center"/>
    </xf>
    <xf numFmtId="167" fontId="13" fillId="3" borderId="26" xfId="1" applyNumberFormat="1" applyFont="1" applyFill="1" applyBorder="1" applyAlignment="1">
      <alignment horizontal="left"/>
    </xf>
    <xf numFmtId="167" fontId="0" fillId="5" borderId="28" xfId="1" applyNumberFormat="1" applyFont="1" applyFill="1" applyBorder="1" applyAlignment="1">
      <alignment horizontal="center"/>
    </xf>
    <xf numFmtId="167" fontId="8" fillId="5" borderId="28" xfId="1" applyNumberFormat="1" applyFont="1" applyFill="1" applyBorder="1" applyAlignment="1">
      <alignment horizontal="center" vertical="center"/>
    </xf>
    <xf numFmtId="167" fontId="8" fillId="5" borderId="2" xfId="1" applyNumberFormat="1" applyFont="1" applyFill="1" applyBorder="1" applyAlignment="1">
      <alignment horizontal="center"/>
    </xf>
    <xf numFmtId="167" fontId="17" fillId="13" borderId="19" xfId="1" applyNumberFormat="1" applyFont="1" applyFill="1" applyBorder="1" applyAlignment="1">
      <alignment horizontal="center"/>
    </xf>
    <xf numFmtId="167" fontId="0" fillId="13" borderId="4" xfId="1" applyNumberFormat="1" applyFont="1" applyFill="1" applyBorder="1" applyAlignment="1">
      <alignment horizontal="center"/>
    </xf>
    <xf numFmtId="167" fontId="0" fillId="13" borderId="35" xfId="1" applyNumberFormat="1" applyFont="1" applyFill="1" applyBorder="1" applyAlignment="1">
      <alignment horizontal="center"/>
    </xf>
    <xf numFmtId="167" fontId="0" fillId="13" borderId="33" xfId="1" applyNumberFormat="1" applyFont="1" applyFill="1" applyBorder="1" applyAlignment="1">
      <alignment horizontal="center"/>
    </xf>
    <xf numFmtId="167" fontId="0" fillId="13" borderId="0" xfId="1" applyNumberFormat="1" applyFont="1" applyFill="1" applyBorder="1" applyAlignment="1">
      <alignment horizontal="center"/>
    </xf>
    <xf numFmtId="167" fontId="0" fillId="13" borderId="6" xfId="1" applyNumberFormat="1" applyFont="1" applyFill="1" applyBorder="1" applyAlignment="1">
      <alignment horizontal="center"/>
    </xf>
    <xf numFmtId="167" fontId="0" fillId="13" borderId="36" xfId="1" applyNumberFormat="1" applyFont="1" applyFill="1" applyBorder="1" applyAlignment="1">
      <alignment horizontal="center"/>
    </xf>
    <xf numFmtId="167" fontId="0" fillId="13" borderId="29" xfId="1" applyNumberFormat="1" applyFont="1" applyFill="1" applyBorder="1" applyAlignment="1">
      <alignment horizontal="center"/>
    </xf>
    <xf numFmtId="167" fontId="0" fillId="13" borderId="8" xfId="1" applyNumberFormat="1" applyFont="1" applyFill="1" applyBorder="1" applyAlignment="1">
      <alignment horizontal="center"/>
    </xf>
    <xf numFmtId="167" fontId="17" fillId="12" borderId="19" xfId="1" applyNumberFormat="1" applyFont="1" applyFill="1" applyBorder="1" applyAlignment="1">
      <alignment horizontal="center"/>
    </xf>
    <xf numFmtId="167" fontId="0" fillId="12" borderId="4" xfId="1" applyNumberFormat="1" applyFont="1" applyFill="1" applyBorder="1" applyAlignment="1">
      <alignment horizontal="center"/>
    </xf>
    <xf numFmtId="167" fontId="0" fillId="12" borderId="35" xfId="1" applyNumberFormat="1" applyFont="1" applyFill="1" applyBorder="1" applyAlignment="1">
      <alignment horizontal="center"/>
    </xf>
    <xf numFmtId="167" fontId="0" fillId="12" borderId="33" xfId="1" applyNumberFormat="1" applyFont="1" applyFill="1" applyBorder="1" applyAlignment="1">
      <alignment horizontal="center"/>
    </xf>
    <xf numFmtId="167" fontId="0" fillId="12" borderId="0" xfId="1" applyNumberFormat="1" applyFont="1" applyFill="1" applyBorder="1" applyAlignment="1">
      <alignment horizontal="center"/>
    </xf>
    <xf numFmtId="167" fontId="0" fillId="12" borderId="6" xfId="1" applyNumberFormat="1" applyFont="1" applyFill="1" applyBorder="1" applyAlignment="1">
      <alignment horizontal="center"/>
    </xf>
    <xf numFmtId="167" fontId="0" fillId="12" borderId="36" xfId="1" applyNumberFormat="1" applyFont="1" applyFill="1" applyBorder="1" applyAlignment="1">
      <alignment horizontal="center"/>
    </xf>
    <xf numFmtId="167" fontId="0" fillId="12" borderId="29" xfId="1" applyNumberFormat="1" applyFont="1" applyFill="1" applyBorder="1" applyAlignment="1">
      <alignment horizontal="center"/>
    </xf>
    <xf numFmtId="167" fontId="0" fillId="12" borderId="8" xfId="1" applyNumberFormat="1" applyFont="1" applyFill="1" applyBorder="1" applyAlignment="1">
      <alignment horizontal="center"/>
    </xf>
    <xf numFmtId="167" fontId="17" fillId="11" borderId="19" xfId="1" applyNumberFormat="1" applyFont="1" applyFill="1" applyBorder="1" applyAlignment="1">
      <alignment horizontal="center"/>
    </xf>
    <xf numFmtId="167" fontId="0" fillId="11" borderId="4" xfId="1" applyNumberFormat="1" applyFont="1" applyFill="1" applyBorder="1" applyAlignment="1">
      <alignment horizontal="center"/>
    </xf>
    <xf numFmtId="167" fontId="0" fillId="11" borderId="35" xfId="1" applyNumberFormat="1" applyFont="1" applyFill="1" applyBorder="1" applyAlignment="1">
      <alignment horizontal="center"/>
    </xf>
    <xf numFmtId="167" fontId="0" fillId="11" borderId="33" xfId="1" applyNumberFormat="1" applyFont="1" applyFill="1" applyBorder="1" applyAlignment="1">
      <alignment horizontal="center"/>
    </xf>
    <xf numFmtId="167" fontId="0" fillId="11" borderId="0" xfId="1" applyNumberFormat="1" applyFont="1" applyFill="1" applyBorder="1" applyAlignment="1">
      <alignment horizontal="center"/>
    </xf>
    <xf numFmtId="167" fontId="0" fillId="11" borderId="6" xfId="1" applyNumberFormat="1" applyFont="1" applyFill="1" applyBorder="1" applyAlignment="1">
      <alignment horizontal="center"/>
    </xf>
    <xf numFmtId="167" fontId="0" fillId="11" borderId="36" xfId="1" applyNumberFormat="1" applyFont="1" applyFill="1" applyBorder="1" applyAlignment="1">
      <alignment horizontal="center"/>
    </xf>
    <xf numFmtId="167" fontId="0" fillId="11" borderId="29" xfId="1" applyNumberFormat="1" applyFont="1" applyFill="1" applyBorder="1" applyAlignment="1">
      <alignment horizontal="center"/>
    </xf>
    <xf numFmtId="167" fontId="0" fillId="11" borderId="8" xfId="1" applyNumberFormat="1" applyFont="1" applyFill="1" applyBorder="1" applyAlignment="1">
      <alignment horizontal="center"/>
    </xf>
    <xf numFmtId="0" fontId="21" fillId="14" borderId="37" xfId="0" applyFont="1" applyFill="1" applyBorder="1" applyAlignment="1">
      <alignment horizontal="center" vertical="center" wrapText="1"/>
    </xf>
    <xf numFmtId="0" fontId="0" fillId="0" borderId="37" xfId="0" applyBorder="1"/>
    <xf numFmtId="0" fontId="18" fillId="14" borderId="37" xfId="0" applyFont="1" applyFill="1" applyBorder="1" applyAlignment="1">
      <alignment horizontal="center" vertical="center" wrapText="1"/>
    </xf>
    <xf numFmtId="0" fontId="2" fillId="5" borderId="19" xfId="0" applyFont="1" applyFill="1" applyBorder="1" applyAlignment="1">
      <alignment horizontal="center" wrapText="1"/>
    </xf>
    <xf numFmtId="0" fontId="2" fillId="5" borderId="4" xfId="0" applyFont="1" applyFill="1" applyBorder="1" applyAlignment="1">
      <alignment horizontal="center" wrapText="1"/>
    </xf>
    <xf numFmtId="0" fontId="8" fillId="5" borderId="3" xfId="0" applyFont="1" applyFill="1" applyBorder="1" applyAlignment="1">
      <alignment horizontal="center"/>
    </xf>
    <xf numFmtId="167" fontId="9" fillId="3" borderId="0" xfId="1" applyNumberFormat="1" applyFont="1" applyFill="1" applyAlignment="1">
      <alignment horizontal="left"/>
    </xf>
    <xf numFmtId="167" fontId="9" fillId="0" borderId="26" xfId="1" applyNumberFormat="1" applyFont="1" applyFill="1" applyBorder="1" applyAlignment="1">
      <alignment horizontal="left"/>
    </xf>
    <xf numFmtId="0" fontId="8" fillId="5" borderId="1" xfId="0" applyFont="1" applyFill="1" applyBorder="1" applyAlignment="1">
      <alignment horizontal="center"/>
    </xf>
    <xf numFmtId="0" fontId="8" fillId="5" borderId="21" xfId="0" applyFont="1" applyFill="1" applyBorder="1" applyAlignment="1">
      <alignment horizontal="center"/>
    </xf>
    <xf numFmtId="167" fontId="9" fillId="3" borderId="26" xfId="1" applyNumberFormat="1" applyFont="1" applyFill="1" applyBorder="1" applyAlignment="1">
      <alignment horizontal="left"/>
    </xf>
    <xf numFmtId="166" fontId="8" fillId="5" borderId="1" xfId="0" applyNumberFormat="1" applyFont="1" applyFill="1" applyBorder="1" applyAlignment="1">
      <alignment horizontal="center"/>
    </xf>
    <xf numFmtId="166" fontId="8" fillId="5" borderId="2" xfId="0" applyNumberFormat="1" applyFont="1" applyFill="1" applyBorder="1" applyAlignment="1">
      <alignment horizontal="center"/>
    </xf>
    <xf numFmtId="166" fontId="8" fillId="5" borderId="21" xfId="0" applyNumberFormat="1" applyFont="1" applyFill="1" applyBorder="1" applyAlignment="1">
      <alignment horizontal="center"/>
    </xf>
    <xf numFmtId="167" fontId="8" fillId="5" borderId="1" xfId="1" applyNumberFormat="1" applyFont="1" applyFill="1" applyBorder="1" applyAlignment="1">
      <alignment horizontal="left"/>
    </xf>
    <xf numFmtId="167" fontId="8" fillId="5" borderId="2" xfId="1" applyNumberFormat="1" applyFont="1" applyFill="1" applyBorder="1" applyAlignment="1">
      <alignment horizontal="left"/>
    </xf>
    <xf numFmtId="167" fontId="8" fillId="5" borderId="21" xfId="1" applyNumberFormat="1" applyFont="1" applyFill="1" applyBorder="1" applyAlignment="1">
      <alignment horizontal="left"/>
    </xf>
    <xf numFmtId="167" fontId="7" fillId="0" borderId="29" xfId="1" applyNumberFormat="1" applyFont="1" applyBorder="1" applyAlignment="1">
      <alignment horizontal="left"/>
    </xf>
    <xf numFmtId="167" fontId="7" fillId="4" borderId="33" xfId="1" applyNumberFormat="1" applyFont="1" applyFill="1" applyBorder="1" applyAlignment="1"/>
    <xf numFmtId="0" fontId="11" fillId="3" borderId="0" xfId="0" applyFont="1" applyFill="1" applyAlignment="1">
      <alignment horizontal="center"/>
    </xf>
    <xf numFmtId="0" fontId="11" fillId="0" borderId="0" xfId="0" applyFont="1" applyAlignment="1">
      <alignment horizontal="center"/>
    </xf>
    <xf numFmtId="0" fontId="10" fillId="3" borderId="0" xfId="0" applyFont="1" applyFill="1" applyAlignment="1">
      <alignment horizontal="center"/>
    </xf>
    <xf numFmtId="167" fontId="8" fillId="5" borderId="11" xfId="1" applyNumberFormat="1" applyFont="1" applyFill="1" applyBorder="1" applyAlignment="1">
      <alignment horizontal="center" vertical="center"/>
    </xf>
    <xf numFmtId="3" fontId="2" fillId="5" borderId="4" xfId="0" applyNumberFormat="1" applyFont="1" applyFill="1" applyBorder="1" applyAlignment="1">
      <alignment horizontal="center" wrapText="1"/>
    </xf>
    <xf numFmtId="1" fontId="2" fillId="5" borderId="4" xfId="0" applyNumberFormat="1" applyFont="1" applyFill="1" applyBorder="1" applyAlignment="1">
      <alignment horizontal="center" wrapText="1"/>
    </xf>
    <xf numFmtId="167" fontId="8" fillId="0" borderId="0" xfId="1" applyNumberFormat="1" applyFont="1" applyAlignment="1">
      <alignment horizontal="center" vertical="center"/>
    </xf>
    <xf numFmtId="167" fontId="8" fillId="0" borderId="12" xfId="1" applyNumberFormat="1" applyFont="1" applyBorder="1" applyAlignment="1">
      <alignment horizontal="center" vertical="center"/>
    </xf>
    <xf numFmtId="167" fontId="7" fillId="3" borderId="0" xfId="1" applyNumberFormat="1" applyFont="1" applyFill="1" applyAlignment="1">
      <alignment horizontal="left"/>
    </xf>
    <xf numFmtId="167" fontId="12" fillId="3" borderId="3" xfId="1" applyNumberFormat="1" applyFont="1" applyFill="1" applyBorder="1" applyAlignment="1">
      <alignment horizontal="center"/>
    </xf>
    <xf numFmtId="167" fontId="11" fillId="3" borderId="0" xfId="1" applyNumberFormat="1" applyFont="1" applyFill="1" applyAlignment="1">
      <alignment horizontal="center"/>
    </xf>
    <xf numFmtId="167" fontId="10" fillId="0" borderId="0" xfId="1" applyNumberFormat="1" applyFont="1" applyAlignment="1">
      <alignment horizontal="center"/>
    </xf>
    <xf numFmtId="167" fontId="8" fillId="5" borderId="32" xfId="1" applyNumberFormat="1" applyFont="1" applyFill="1" applyBorder="1" applyAlignment="1">
      <alignment horizontal="center" vertical="center"/>
    </xf>
    <xf numFmtId="0" fontId="0" fillId="0" borderId="31" xfId="0" applyBorder="1" applyAlignment="1">
      <alignment horizontal="center"/>
    </xf>
    <xf numFmtId="167" fontId="8" fillId="5" borderId="12" xfId="1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167" fontId="0" fillId="6" borderId="3" xfId="1" applyNumberFormat="1" applyFont="1" applyFill="1" applyBorder="1" applyAlignment="1">
      <alignment horizontal="center" vertical="center"/>
    </xf>
    <xf numFmtId="167" fontId="8" fillId="5" borderId="31" xfId="1" applyNumberFormat="1" applyFont="1" applyFill="1" applyBorder="1" applyAlignment="1">
      <alignment horizontal="center" vertical="center"/>
    </xf>
    <xf numFmtId="167" fontId="8" fillId="5" borderId="18" xfId="1" applyNumberFormat="1" applyFont="1" applyFill="1" applyBorder="1" applyAlignment="1">
      <alignment horizontal="center" vertical="center"/>
    </xf>
  </cellXfs>
  <cellStyles count="3">
    <cellStyle name="Milliers" xfId="1" builtinId="3"/>
    <cellStyle name="Milliers 2" xfId="2" xr:uid="{6C59F246-CD32-4287-8D69-574A6056ACA5}"/>
    <cellStyle name="Normal" xfId="0" builtinId="0"/>
  </cellStyles>
  <dxfs count="0"/>
  <tableStyles count="0" defaultTableStyle="TableStyleMedium2" defaultPivotStyle="PivotStyleLight16"/>
  <colors>
    <mruColors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Relationship Id="rId30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6FA907-9838-4710-AE02-4DCD81829277}">
  <sheetPr>
    <tabColor theme="3" tint="0.499984740745262"/>
  </sheetPr>
  <dimension ref="A1:AB451"/>
  <sheetViews>
    <sheetView showGridLines="0" zoomScaleNormal="100" workbookViewId="0">
      <selection sqref="A1:XFD1048576"/>
    </sheetView>
  </sheetViews>
  <sheetFormatPr baseColWidth="10" defaultColWidth="10.7109375" defaultRowHeight="15" x14ac:dyDescent="0.25"/>
  <cols>
    <col min="1" max="1" width="10.7109375" style="20"/>
    <col min="2" max="2" width="30.85546875" style="20" bestFit="1" customWidth="1"/>
    <col min="3" max="14" width="12.28515625" style="20" bestFit="1" customWidth="1"/>
    <col min="15" max="15" width="28" style="20" bestFit="1" customWidth="1"/>
    <col min="16" max="16" width="15.85546875" style="20" bestFit="1" customWidth="1"/>
    <col min="17" max="18" width="10.7109375" style="20"/>
    <col min="19" max="19" width="54" style="20" customWidth="1"/>
    <col min="20" max="20" width="39.42578125" style="20" customWidth="1"/>
    <col min="21" max="21" width="10.7109375" style="20"/>
    <col min="22" max="22" width="26.5703125" style="20" customWidth="1"/>
    <col min="23" max="23" width="24.85546875" style="20" customWidth="1"/>
    <col min="24" max="24" width="35.85546875" style="20" customWidth="1"/>
    <col min="25" max="26" width="10.7109375" style="20"/>
    <col min="27" max="27" width="30.28515625" style="20" customWidth="1"/>
    <col min="28" max="16384" width="10.7109375" style="20"/>
  </cols>
  <sheetData>
    <row r="1" spans="1:24" ht="28.5" x14ac:dyDescent="0.45">
      <c r="B1" s="212" t="s">
        <v>200</v>
      </c>
      <c r="C1" s="212"/>
      <c r="D1" s="212"/>
      <c r="E1" s="212"/>
      <c r="F1" s="212"/>
      <c r="G1" s="212"/>
      <c r="H1" s="212"/>
      <c r="I1" s="212"/>
      <c r="J1" s="212"/>
      <c r="K1" s="212"/>
      <c r="L1" s="212"/>
      <c r="M1" s="212"/>
      <c r="N1" s="212"/>
      <c r="O1" s="212"/>
      <c r="P1" s="212"/>
    </row>
    <row r="2" spans="1:24" x14ac:dyDescent="0.25">
      <c r="B2" s="218" t="s">
        <v>363</v>
      </c>
      <c r="C2" s="218"/>
      <c r="D2" s="218"/>
      <c r="E2" s="218"/>
      <c r="F2" s="218"/>
      <c r="G2" s="218"/>
      <c r="H2" s="218"/>
      <c r="I2" s="218"/>
      <c r="J2" s="218"/>
      <c r="K2" s="218"/>
      <c r="L2" s="218"/>
      <c r="M2" s="218"/>
      <c r="N2" s="218"/>
      <c r="O2" s="218"/>
      <c r="P2" s="218"/>
      <c r="W2" s="197" t="s">
        <v>297</v>
      </c>
      <c r="X2" s="208">
        <v>15000</v>
      </c>
    </row>
    <row r="3" spans="1:24" x14ac:dyDescent="0.25">
      <c r="B3" s="213"/>
      <c r="C3" s="215" t="s">
        <v>50</v>
      </c>
      <c r="D3" s="215" t="s">
        <v>51</v>
      </c>
      <c r="E3" s="215" t="s">
        <v>52</v>
      </c>
      <c r="F3" s="215" t="s">
        <v>53</v>
      </c>
      <c r="G3" s="215" t="s">
        <v>54</v>
      </c>
      <c r="H3" s="215" t="s">
        <v>55</v>
      </c>
      <c r="I3" s="215" t="s">
        <v>56</v>
      </c>
      <c r="J3" s="215" t="s">
        <v>57</v>
      </c>
      <c r="K3" s="215" t="s">
        <v>58</v>
      </c>
      <c r="L3" s="215" t="s">
        <v>59</v>
      </c>
      <c r="M3" s="215" t="s">
        <v>60</v>
      </c>
      <c r="N3" s="215" t="s">
        <v>61</v>
      </c>
      <c r="O3" s="220" t="s">
        <v>62</v>
      </c>
      <c r="P3" s="221"/>
      <c r="S3" s="222" t="s">
        <v>63</v>
      </c>
      <c r="T3" s="222"/>
      <c r="W3" s="197" t="s">
        <v>298</v>
      </c>
      <c r="X3" s="208">
        <v>100000</v>
      </c>
    </row>
    <row r="4" spans="1:24" x14ac:dyDescent="0.25">
      <c r="B4" s="214"/>
      <c r="C4" s="216"/>
      <c r="D4" s="216"/>
      <c r="E4" s="216"/>
      <c r="F4" s="216"/>
      <c r="G4" s="216"/>
      <c r="H4" s="216"/>
      <c r="I4" s="216"/>
      <c r="J4" s="216"/>
      <c r="K4" s="216"/>
      <c r="L4" s="216"/>
      <c r="M4" s="216"/>
      <c r="N4" s="216"/>
      <c r="O4" s="58" t="s">
        <v>64</v>
      </c>
      <c r="P4" s="58" t="s">
        <v>65</v>
      </c>
      <c r="S4" s="143" t="s">
        <v>1</v>
      </c>
      <c r="T4" s="21">
        <f>P5</f>
        <v>140000.00000000003</v>
      </c>
      <c r="W4" s="197" t="s">
        <v>299</v>
      </c>
      <c r="X4" s="209">
        <v>0.05</v>
      </c>
    </row>
    <row r="5" spans="1:24" x14ac:dyDescent="0.25">
      <c r="B5" s="35" t="s">
        <v>66</v>
      </c>
      <c r="C5" s="35">
        <f>($X$7*POWER(1+$X$8,0))/12</f>
        <v>11666.666666666666</v>
      </c>
      <c r="D5" s="35">
        <f t="shared" ref="D5:N5" si="0">($X$7*POWER(1+$X$8,0))/12</f>
        <v>11666.666666666666</v>
      </c>
      <c r="E5" s="35">
        <f t="shared" si="0"/>
        <v>11666.666666666666</v>
      </c>
      <c r="F5" s="35">
        <f t="shared" si="0"/>
        <v>11666.666666666666</v>
      </c>
      <c r="G5" s="35">
        <f t="shared" si="0"/>
        <v>11666.666666666666</v>
      </c>
      <c r="H5" s="35">
        <f t="shared" si="0"/>
        <v>11666.666666666666</v>
      </c>
      <c r="I5" s="35">
        <f t="shared" si="0"/>
        <v>11666.666666666666</v>
      </c>
      <c r="J5" s="35">
        <f t="shared" si="0"/>
        <v>11666.666666666666</v>
      </c>
      <c r="K5" s="35">
        <f t="shared" si="0"/>
        <v>11666.666666666666</v>
      </c>
      <c r="L5" s="35">
        <f t="shared" si="0"/>
        <v>11666.666666666666</v>
      </c>
      <c r="M5" s="35">
        <f t="shared" si="0"/>
        <v>11666.666666666666</v>
      </c>
      <c r="N5" s="35">
        <f t="shared" si="0"/>
        <v>11666.666666666666</v>
      </c>
      <c r="O5" s="60" t="s">
        <v>1</v>
      </c>
      <c r="P5" s="61">
        <f>SUM(C5:N5)</f>
        <v>140000.00000000003</v>
      </c>
      <c r="S5" s="143" t="s">
        <v>67</v>
      </c>
      <c r="T5" s="21">
        <v>0</v>
      </c>
      <c r="W5" s="197" t="s">
        <v>300</v>
      </c>
      <c r="X5" s="210">
        <v>60</v>
      </c>
    </row>
    <row r="6" spans="1:24" ht="30" x14ac:dyDescent="0.25">
      <c r="B6" s="34" t="s">
        <v>68</v>
      </c>
      <c r="C6" s="34">
        <f>C5*20%</f>
        <v>2333.3333333333335</v>
      </c>
      <c r="D6" s="34">
        <f t="shared" ref="D6:N6" si="1">D5*20%</f>
        <v>2333.3333333333335</v>
      </c>
      <c r="E6" s="34">
        <f t="shared" si="1"/>
        <v>2333.3333333333335</v>
      </c>
      <c r="F6" s="34">
        <f t="shared" si="1"/>
        <v>2333.3333333333335</v>
      </c>
      <c r="G6" s="34">
        <f t="shared" si="1"/>
        <v>2333.3333333333335</v>
      </c>
      <c r="H6" s="34">
        <f t="shared" si="1"/>
        <v>2333.3333333333335</v>
      </c>
      <c r="I6" s="34">
        <f t="shared" si="1"/>
        <v>2333.3333333333335</v>
      </c>
      <c r="J6" s="34">
        <f t="shared" si="1"/>
        <v>2333.3333333333335</v>
      </c>
      <c r="K6" s="34">
        <f t="shared" si="1"/>
        <v>2333.3333333333335</v>
      </c>
      <c r="L6" s="34">
        <f t="shared" si="1"/>
        <v>2333.3333333333335</v>
      </c>
      <c r="M6" s="34">
        <f t="shared" si="1"/>
        <v>2333.3333333333335</v>
      </c>
      <c r="N6" s="34">
        <f t="shared" si="1"/>
        <v>2333.3333333333335</v>
      </c>
      <c r="O6" s="34"/>
      <c r="P6" s="34"/>
      <c r="S6" s="144" t="s">
        <v>10</v>
      </c>
      <c r="T6" s="131">
        <f>T4+T5</f>
        <v>140000.00000000003</v>
      </c>
      <c r="W6" s="197" t="s">
        <v>301</v>
      </c>
      <c r="X6" s="211">
        <f>X3*(X4/12)/(1-POWER(1+(X4/12),-X5))</f>
        <v>1887.1233644010879</v>
      </c>
    </row>
    <row r="7" spans="1:24" x14ac:dyDescent="0.25">
      <c r="B7" s="34" t="s">
        <v>69</v>
      </c>
      <c r="C7" s="34">
        <f>C5+C6</f>
        <v>14000</v>
      </c>
      <c r="D7" s="34">
        <f t="shared" ref="D7:N7" si="2">D5+D6</f>
        <v>14000</v>
      </c>
      <c r="E7" s="34">
        <f t="shared" si="2"/>
        <v>14000</v>
      </c>
      <c r="F7" s="34">
        <f t="shared" si="2"/>
        <v>14000</v>
      </c>
      <c r="G7" s="34">
        <f t="shared" si="2"/>
        <v>14000</v>
      </c>
      <c r="H7" s="34">
        <f t="shared" si="2"/>
        <v>14000</v>
      </c>
      <c r="I7" s="34">
        <f t="shared" si="2"/>
        <v>14000</v>
      </c>
      <c r="J7" s="34">
        <f t="shared" si="2"/>
        <v>14000</v>
      </c>
      <c r="K7" s="34">
        <f t="shared" si="2"/>
        <v>14000</v>
      </c>
      <c r="L7" s="34">
        <f t="shared" si="2"/>
        <v>14000</v>
      </c>
      <c r="M7" s="34">
        <f t="shared" si="2"/>
        <v>14000</v>
      </c>
      <c r="N7" s="34">
        <f t="shared" si="2"/>
        <v>14000</v>
      </c>
      <c r="O7" s="34"/>
      <c r="P7" s="34"/>
      <c r="S7" s="143" t="s">
        <v>70</v>
      </c>
      <c r="T7" s="21">
        <f>P14</f>
        <v>41999.999999999993</v>
      </c>
      <c r="W7" s="197" t="s">
        <v>302</v>
      </c>
      <c r="X7" s="208">
        <v>140000</v>
      </c>
    </row>
    <row r="8" spans="1:24" x14ac:dyDescent="0.25">
      <c r="B8" s="59" t="s">
        <v>71</v>
      </c>
      <c r="C8" s="59">
        <f>C7</f>
        <v>14000</v>
      </c>
      <c r="D8" s="59">
        <f t="shared" ref="D8:N8" si="3">D7</f>
        <v>14000</v>
      </c>
      <c r="E8" s="59">
        <f t="shared" si="3"/>
        <v>14000</v>
      </c>
      <c r="F8" s="59">
        <f t="shared" si="3"/>
        <v>14000</v>
      </c>
      <c r="G8" s="59">
        <f t="shared" si="3"/>
        <v>14000</v>
      </c>
      <c r="H8" s="59">
        <f t="shared" si="3"/>
        <v>14000</v>
      </c>
      <c r="I8" s="59">
        <f t="shared" si="3"/>
        <v>14000</v>
      </c>
      <c r="J8" s="59">
        <f t="shared" si="3"/>
        <v>14000</v>
      </c>
      <c r="K8" s="59">
        <f t="shared" si="3"/>
        <v>14000</v>
      </c>
      <c r="L8" s="59">
        <f t="shared" si="3"/>
        <v>14000</v>
      </c>
      <c r="M8" s="59">
        <f t="shared" si="3"/>
        <v>14000</v>
      </c>
      <c r="N8" s="59">
        <f t="shared" si="3"/>
        <v>14000</v>
      </c>
      <c r="O8" s="60" t="s">
        <v>72</v>
      </c>
      <c r="P8" s="61">
        <f>SUM(C8:N8)</f>
        <v>168000</v>
      </c>
      <c r="S8" s="143" t="s">
        <v>73</v>
      </c>
      <c r="T8" s="21">
        <f>P23</f>
        <v>85200</v>
      </c>
      <c r="W8" s="197" t="s">
        <v>303</v>
      </c>
      <c r="X8" s="209">
        <v>0.2</v>
      </c>
    </row>
    <row r="9" spans="1:24" x14ac:dyDescent="0.25">
      <c r="A9" s="217"/>
      <c r="S9" s="143" t="s">
        <v>18</v>
      </c>
      <c r="T9" s="21">
        <f>P39</f>
        <v>8200</v>
      </c>
      <c r="W9" s="197" t="s">
        <v>304</v>
      </c>
      <c r="X9" s="209">
        <v>0.2</v>
      </c>
    </row>
    <row r="10" spans="1:24" ht="30" x14ac:dyDescent="0.25">
      <c r="A10" s="217"/>
      <c r="S10" s="143" t="s">
        <v>20</v>
      </c>
      <c r="T10" s="21">
        <f>P31</f>
        <v>307500</v>
      </c>
      <c r="W10" s="197" t="s">
        <v>305</v>
      </c>
      <c r="X10" s="209">
        <v>0.3</v>
      </c>
    </row>
    <row r="11" spans="1:24" x14ac:dyDescent="0.25">
      <c r="B11" s="219" t="s">
        <v>364</v>
      </c>
      <c r="C11" s="219"/>
      <c r="D11" s="219"/>
      <c r="E11" s="219"/>
      <c r="F11" s="219"/>
      <c r="G11" s="219"/>
      <c r="H11" s="219"/>
      <c r="I11" s="219"/>
      <c r="J11" s="219"/>
      <c r="K11" s="219"/>
      <c r="L11" s="219"/>
      <c r="M11" s="219"/>
      <c r="N11" s="219"/>
      <c r="O11" s="219"/>
      <c r="P11" s="219"/>
      <c r="S11" s="143" t="s">
        <v>21</v>
      </c>
      <c r="T11" s="21">
        <f>P32</f>
        <v>123000</v>
      </c>
      <c r="W11" s="197" t="s">
        <v>306</v>
      </c>
      <c r="X11" s="208">
        <v>18000</v>
      </c>
    </row>
    <row r="12" spans="1:24" ht="30" x14ac:dyDescent="0.25">
      <c r="B12" s="213"/>
      <c r="C12" s="215" t="s">
        <v>50</v>
      </c>
      <c r="D12" s="215" t="s">
        <v>51</v>
      </c>
      <c r="E12" s="215" t="s">
        <v>52</v>
      </c>
      <c r="F12" s="215" t="s">
        <v>53</v>
      </c>
      <c r="G12" s="215" t="s">
        <v>54</v>
      </c>
      <c r="H12" s="215" t="s">
        <v>55</v>
      </c>
      <c r="I12" s="215" t="s">
        <v>56</v>
      </c>
      <c r="J12" s="215" t="s">
        <v>57</v>
      </c>
      <c r="K12" s="215" t="s">
        <v>58</v>
      </c>
      <c r="L12" s="215" t="s">
        <v>59</v>
      </c>
      <c r="M12" s="215" t="s">
        <v>60</v>
      </c>
      <c r="N12" s="215" t="s">
        <v>61</v>
      </c>
      <c r="O12" s="220" t="s">
        <v>62</v>
      </c>
      <c r="P12" s="221"/>
      <c r="S12" s="143" t="s">
        <v>75</v>
      </c>
      <c r="T12" s="21">
        <f>P28</f>
        <v>10714.285714285714</v>
      </c>
      <c r="W12" s="197" t="s">
        <v>307</v>
      </c>
      <c r="X12" s="208">
        <v>21000</v>
      </c>
    </row>
    <row r="13" spans="1:24" x14ac:dyDescent="0.25">
      <c r="B13" s="214"/>
      <c r="C13" s="216"/>
      <c r="D13" s="216"/>
      <c r="E13" s="216"/>
      <c r="F13" s="216"/>
      <c r="G13" s="216"/>
      <c r="H13" s="216"/>
      <c r="I13" s="216"/>
      <c r="J13" s="216"/>
      <c r="K13" s="216"/>
      <c r="L13" s="216"/>
      <c r="M13" s="216"/>
      <c r="N13" s="216"/>
      <c r="O13" s="58" t="s">
        <v>64</v>
      </c>
      <c r="P13" s="58" t="s">
        <v>65</v>
      </c>
      <c r="S13" s="144" t="s">
        <v>76</v>
      </c>
      <c r="T13" s="131">
        <f>SUM(T7:T12)</f>
        <v>576614.28571428568</v>
      </c>
      <c r="W13" s="197" t="s">
        <v>308</v>
      </c>
      <c r="X13" s="208">
        <v>24000</v>
      </c>
    </row>
    <row r="14" spans="1:24" x14ac:dyDescent="0.25">
      <c r="B14" s="35" t="s">
        <v>77</v>
      </c>
      <c r="C14" s="35">
        <f>C5*30%</f>
        <v>3499.9999999999995</v>
      </c>
      <c r="D14" s="35">
        <f t="shared" ref="D14:N14" si="4">D5*30%</f>
        <v>3499.9999999999995</v>
      </c>
      <c r="E14" s="35">
        <f t="shared" si="4"/>
        <v>3499.9999999999995</v>
      </c>
      <c r="F14" s="35">
        <f t="shared" si="4"/>
        <v>3499.9999999999995</v>
      </c>
      <c r="G14" s="35">
        <f t="shared" si="4"/>
        <v>3499.9999999999995</v>
      </c>
      <c r="H14" s="35">
        <f t="shared" si="4"/>
        <v>3499.9999999999995</v>
      </c>
      <c r="I14" s="35">
        <f t="shared" si="4"/>
        <v>3499.9999999999995</v>
      </c>
      <c r="J14" s="35">
        <f t="shared" si="4"/>
        <v>3499.9999999999995</v>
      </c>
      <c r="K14" s="35">
        <f t="shared" si="4"/>
        <v>3499.9999999999995</v>
      </c>
      <c r="L14" s="35">
        <f t="shared" si="4"/>
        <v>3499.9999999999995</v>
      </c>
      <c r="M14" s="35">
        <f t="shared" si="4"/>
        <v>3499.9999999999995</v>
      </c>
      <c r="N14" s="35">
        <f t="shared" si="4"/>
        <v>3499.9999999999995</v>
      </c>
      <c r="O14" s="60" t="s">
        <v>78</v>
      </c>
      <c r="P14" s="61">
        <f>SUM(C14:N14)</f>
        <v>41999.999999999993</v>
      </c>
      <c r="S14" s="154" t="s">
        <v>30</v>
      </c>
      <c r="T14" s="155">
        <f>T6-T13</f>
        <v>-436614.28571428568</v>
      </c>
      <c r="W14" s="197" t="s">
        <v>309</v>
      </c>
      <c r="X14" s="209">
        <v>0.42</v>
      </c>
    </row>
    <row r="15" spans="1:24" ht="30" x14ac:dyDescent="0.25">
      <c r="B15" s="34" t="s">
        <v>79</v>
      </c>
      <c r="C15" s="34">
        <f>C14*20%</f>
        <v>700</v>
      </c>
      <c r="D15" s="34">
        <f t="shared" ref="D15:N15" si="5">D14*20%</f>
        <v>700</v>
      </c>
      <c r="E15" s="34">
        <f t="shared" si="5"/>
        <v>700</v>
      </c>
      <c r="F15" s="34">
        <f t="shared" si="5"/>
        <v>700</v>
      </c>
      <c r="G15" s="34">
        <f t="shared" si="5"/>
        <v>700</v>
      </c>
      <c r="H15" s="34">
        <f t="shared" si="5"/>
        <v>700</v>
      </c>
      <c r="I15" s="34">
        <f t="shared" si="5"/>
        <v>700</v>
      </c>
      <c r="J15" s="34">
        <f t="shared" si="5"/>
        <v>700</v>
      </c>
      <c r="K15" s="34">
        <f t="shared" si="5"/>
        <v>700</v>
      </c>
      <c r="L15" s="34">
        <f t="shared" si="5"/>
        <v>700</v>
      </c>
      <c r="M15" s="34">
        <f t="shared" si="5"/>
        <v>700</v>
      </c>
      <c r="N15" s="34">
        <f t="shared" si="5"/>
        <v>700</v>
      </c>
      <c r="O15" s="34"/>
      <c r="P15" s="34"/>
      <c r="S15" s="144" t="s">
        <v>33</v>
      </c>
      <c r="T15" s="131">
        <v>0</v>
      </c>
      <c r="W15" s="197" t="s">
        <v>310</v>
      </c>
      <c r="X15" s="210">
        <v>0</v>
      </c>
    </row>
    <row r="16" spans="1:24" ht="30" x14ac:dyDescent="0.25">
      <c r="B16" s="34" t="s">
        <v>80</v>
      </c>
      <c r="C16" s="34">
        <f>C14+C15</f>
        <v>4200</v>
      </c>
      <c r="D16" s="34">
        <f t="shared" ref="D16:N16" si="6">D14+D15</f>
        <v>4200</v>
      </c>
      <c r="E16" s="34">
        <f t="shared" si="6"/>
        <v>4200</v>
      </c>
      <c r="F16" s="34">
        <f t="shared" si="6"/>
        <v>4200</v>
      </c>
      <c r="G16" s="34">
        <f t="shared" si="6"/>
        <v>4200</v>
      </c>
      <c r="H16" s="34">
        <f t="shared" si="6"/>
        <v>4200</v>
      </c>
      <c r="I16" s="34">
        <f t="shared" si="6"/>
        <v>4200</v>
      </c>
      <c r="J16" s="34">
        <f t="shared" si="6"/>
        <v>4200</v>
      </c>
      <c r="K16" s="34">
        <f t="shared" si="6"/>
        <v>4200</v>
      </c>
      <c r="L16" s="34">
        <f t="shared" si="6"/>
        <v>4200</v>
      </c>
      <c r="M16" s="34">
        <f t="shared" si="6"/>
        <v>4200</v>
      </c>
      <c r="N16" s="34">
        <f t="shared" si="6"/>
        <v>4200</v>
      </c>
      <c r="O16" s="34"/>
      <c r="P16" s="34"/>
      <c r="S16" s="143" t="s">
        <v>36</v>
      </c>
      <c r="T16" s="21">
        <f>P41</f>
        <v>4200</v>
      </c>
      <c r="W16" s="197" t="s">
        <v>311</v>
      </c>
      <c r="X16" s="210">
        <v>1</v>
      </c>
    </row>
    <row r="17" spans="2:28" x14ac:dyDescent="0.25">
      <c r="B17" s="59" t="s">
        <v>81</v>
      </c>
      <c r="C17" s="59">
        <f>C16+'Bilan et CDR N'!K14</f>
        <v>27700</v>
      </c>
      <c r="D17" s="59">
        <f>D16</f>
        <v>4200</v>
      </c>
      <c r="E17" s="59">
        <f t="shared" ref="E17:N17" si="7">E16</f>
        <v>4200</v>
      </c>
      <c r="F17" s="59">
        <f t="shared" si="7"/>
        <v>4200</v>
      </c>
      <c r="G17" s="59">
        <f t="shared" si="7"/>
        <v>4200</v>
      </c>
      <c r="H17" s="59">
        <f t="shared" si="7"/>
        <v>4200</v>
      </c>
      <c r="I17" s="59">
        <f t="shared" si="7"/>
        <v>4200</v>
      </c>
      <c r="J17" s="59">
        <f t="shared" si="7"/>
        <v>4200</v>
      </c>
      <c r="K17" s="59">
        <f t="shared" si="7"/>
        <v>4200</v>
      </c>
      <c r="L17" s="59">
        <f t="shared" si="7"/>
        <v>4200</v>
      </c>
      <c r="M17" s="59">
        <f t="shared" si="7"/>
        <v>4200</v>
      </c>
      <c r="N17" s="59">
        <f t="shared" si="7"/>
        <v>4200</v>
      </c>
      <c r="O17" s="60" t="s">
        <v>82</v>
      </c>
      <c r="P17" s="61">
        <v>0</v>
      </c>
      <c r="S17" s="144" t="s">
        <v>37</v>
      </c>
      <c r="T17" s="131">
        <f>T16</f>
        <v>4200</v>
      </c>
      <c r="W17" s="197" t="s">
        <v>312</v>
      </c>
      <c r="X17" s="208">
        <v>45000</v>
      </c>
    </row>
    <row r="18" spans="2:28" x14ac:dyDescent="0.25">
      <c r="S18" s="154" t="s">
        <v>40</v>
      </c>
      <c r="T18" s="155">
        <f>T15-T17</f>
        <v>-4200</v>
      </c>
      <c r="W18" s="197" t="s">
        <v>313</v>
      </c>
      <c r="X18" s="208">
        <v>55000</v>
      </c>
    </row>
    <row r="19" spans="2:28" x14ac:dyDescent="0.25">
      <c r="S19" s="154" t="s">
        <v>43</v>
      </c>
      <c r="T19" s="155">
        <f>T14-(-T18)</f>
        <v>-440814.28571428568</v>
      </c>
    </row>
    <row r="20" spans="2:28" x14ac:dyDescent="0.25">
      <c r="B20" s="219" t="s">
        <v>365</v>
      </c>
      <c r="C20" s="219"/>
      <c r="D20" s="219"/>
      <c r="E20" s="219"/>
      <c r="F20" s="219"/>
      <c r="G20" s="219"/>
      <c r="H20" s="219"/>
      <c r="I20" s="219"/>
      <c r="J20" s="219"/>
      <c r="K20" s="219"/>
      <c r="L20" s="219"/>
      <c r="M20" s="219"/>
      <c r="N20" s="219"/>
      <c r="O20" s="219"/>
      <c r="P20" s="219"/>
      <c r="S20" s="154" t="s">
        <v>45</v>
      </c>
      <c r="T20" s="21"/>
    </row>
    <row r="21" spans="2:28" x14ac:dyDescent="0.25">
      <c r="B21" s="213"/>
      <c r="C21" s="215" t="s">
        <v>50</v>
      </c>
      <c r="D21" s="215" t="s">
        <v>51</v>
      </c>
      <c r="E21" s="215" t="s">
        <v>52</v>
      </c>
      <c r="F21" s="215" t="s">
        <v>53</v>
      </c>
      <c r="G21" s="215" t="s">
        <v>54</v>
      </c>
      <c r="H21" s="215" t="s">
        <v>55</v>
      </c>
      <c r="I21" s="215" t="s">
        <v>56</v>
      </c>
      <c r="J21" s="215" t="s">
        <v>57</v>
      </c>
      <c r="K21" s="215" t="s">
        <v>58</v>
      </c>
      <c r="L21" s="215" t="s">
        <v>59</v>
      </c>
      <c r="M21" s="215" t="s">
        <v>60</v>
      </c>
      <c r="N21" s="215" t="s">
        <v>61</v>
      </c>
      <c r="O21" s="220" t="s">
        <v>62</v>
      </c>
      <c r="P21" s="221"/>
      <c r="S21" s="160" t="s">
        <v>47</v>
      </c>
      <c r="T21" s="161">
        <f>T19</f>
        <v>-440814.28571428568</v>
      </c>
    </row>
    <row r="22" spans="2:28" x14ac:dyDescent="0.25">
      <c r="B22" s="214"/>
      <c r="C22" s="216"/>
      <c r="D22" s="216"/>
      <c r="E22" s="216"/>
      <c r="F22" s="216"/>
      <c r="G22" s="216"/>
      <c r="H22" s="216"/>
      <c r="I22" s="216"/>
      <c r="J22" s="216"/>
      <c r="K22" s="216"/>
      <c r="L22" s="216"/>
      <c r="M22" s="216"/>
      <c r="N22" s="216"/>
      <c r="O22" s="58" t="s">
        <v>64</v>
      </c>
      <c r="P22" s="58" t="s">
        <v>65</v>
      </c>
    </row>
    <row r="23" spans="2:28" x14ac:dyDescent="0.25">
      <c r="B23" s="35" t="s">
        <v>84</v>
      </c>
      <c r="C23" s="35">
        <v>7100</v>
      </c>
      <c r="D23" s="35">
        <v>7100</v>
      </c>
      <c r="E23" s="35">
        <v>7100</v>
      </c>
      <c r="F23" s="35">
        <v>7100</v>
      </c>
      <c r="G23" s="35">
        <v>7100</v>
      </c>
      <c r="H23" s="35">
        <v>7100</v>
      </c>
      <c r="I23" s="35">
        <v>7100</v>
      </c>
      <c r="J23" s="35">
        <v>7100</v>
      </c>
      <c r="K23" s="35">
        <v>7100</v>
      </c>
      <c r="L23" s="35">
        <v>7100</v>
      </c>
      <c r="M23" s="35">
        <v>7100</v>
      </c>
      <c r="N23" s="35">
        <v>7100</v>
      </c>
      <c r="O23" s="60" t="s">
        <v>85</v>
      </c>
      <c r="P23" s="61">
        <f>SUM(C23:N23)</f>
        <v>85200</v>
      </c>
    </row>
    <row r="24" spans="2:28" x14ac:dyDescent="0.25">
      <c r="B24" s="34" t="s">
        <v>86</v>
      </c>
      <c r="C24" s="34">
        <f>C23*20%</f>
        <v>1420</v>
      </c>
      <c r="D24" s="34">
        <f t="shared" ref="D24:N24" si="8">D23*20%</f>
        <v>1420</v>
      </c>
      <c r="E24" s="34">
        <f t="shared" si="8"/>
        <v>1420</v>
      </c>
      <c r="F24" s="34">
        <f t="shared" si="8"/>
        <v>1420</v>
      </c>
      <c r="G24" s="34">
        <f t="shared" si="8"/>
        <v>1420</v>
      </c>
      <c r="H24" s="34">
        <f t="shared" si="8"/>
        <v>1420</v>
      </c>
      <c r="I24" s="34">
        <f t="shared" si="8"/>
        <v>1420</v>
      </c>
      <c r="J24" s="34">
        <f t="shared" si="8"/>
        <v>1420</v>
      </c>
      <c r="K24" s="34">
        <f t="shared" si="8"/>
        <v>1420</v>
      </c>
      <c r="L24" s="34">
        <f t="shared" si="8"/>
        <v>1420</v>
      </c>
      <c r="M24" s="34">
        <f t="shared" si="8"/>
        <v>1420</v>
      </c>
      <c r="N24" s="34">
        <f t="shared" si="8"/>
        <v>1420</v>
      </c>
      <c r="O24" s="34"/>
      <c r="P24" s="34"/>
    </row>
    <row r="25" spans="2:28" x14ac:dyDescent="0.25">
      <c r="B25" s="34" t="s">
        <v>87</v>
      </c>
      <c r="C25" s="34">
        <f>C23+C24</f>
        <v>8520</v>
      </c>
      <c r="D25" s="34">
        <f t="shared" ref="D25:N25" si="9">D23+D24</f>
        <v>8520</v>
      </c>
      <c r="E25" s="34">
        <f t="shared" si="9"/>
        <v>8520</v>
      </c>
      <c r="F25" s="34">
        <f t="shared" si="9"/>
        <v>8520</v>
      </c>
      <c r="G25" s="34">
        <f t="shared" si="9"/>
        <v>8520</v>
      </c>
      <c r="H25" s="34">
        <f t="shared" si="9"/>
        <v>8520</v>
      </c>
      <c r="I25" s="34">
        <f t="shared" si="9"/>
        <v>8520</v>
      </c>
      <c r="J25" s="34">
        <f t="shared" si="9"/>
        <v>8520</v>
      </c>
      <c r="K25" s="34">
        <f t="shared" si="9"/>
        <v>8520</v>
      </c>
      <c r="L25" s="34">
        <f t="shared" si="9"/>
        <v>8520</v>
      </c>
      <c r="M25" s="34">
        <f t="shared" si="9"/>
        <v>8520</v>
      </c>
      <c r="N25" s="34">
        <f t="shared" si="9"/>
        <v>8520</v>
      </c>
      <c r="O25" s="34"/>
      <c r="P25" s="34"/>
      <c r="S25" s="223" t="s">
        <v>88</v>
      </c>
      <c r="T25" s="224"/>
      <c r="U25" s="224"/>
      <c r="V25" s="224"/>
      <c r="W25" s="224"/>
      <c r="X25" s="224"/>
    </row>
    <row r="26" spans="2:28" ht="30" x14ac:dyDescent="0.25">
      <c r="B26" s="59" t="s">
        <v>81</v>
      </c>
      <c r="C26" s="59">
        <f>+C23+C24</f>
        <v>8520</v>
      </c>
      <c r="D26" s="59">
        <f t="shared" ref="D26:N26" si="10">+D23+D24</f>
        <v>8520</v>
      </c>
      <c r="E26" s="59">
        <f t="shared" si="10"/>
        <v>8520</v>
      </c>
      <c r="F26" s="59">
        <f t="shared" si="10"/>
        <v>8520</v>
      </c>
      <c r="G26" s="59">
        <f t="shared" si="10"/>
        <v>8520</v>
      </c>
      <c r="H26" s="59">
        <f t="shared" si="10"/>
        <v>8520</v>
      </c>
      <c r="I26" s="59">
        <f t="shared" si="10"/>
        <v>8520</v>
      </c>
      <c r="J26" s="59">
        <f t="shared" si="10"/>
        <v>8520</v>
      </c>
      <c r="K26" s="59">
        <f t="shared" si="10"/>
        <v>8520</v>
      </c>
      <c r="L26" s="59">
        <f t="shared" si="10"/>
        <v>8520</v>
      </c>
      <c r="M26" s="59">
        <f t="shared" si="10"/>
        <v>8520</v>
      </c>
      <c r="N26" s="59">
        <f t="shared" si="10"/>
        <v>8520</v>
      </c>
      <c r="O26" s="34"/>
      <c r="P26" s="34"/>
      <c r="S26" s="144" t="s">
        <v>2</v>
      </c>
      <c r="T26" s="145" t="s">
        <v>3</v>
      </c>
      <c r="U26" s="145" t="s">
        <v>4</v>
      </c>
      <c r="V26" s="145" t="s">
        <v>5</v>
      </c>
      <c r="W26" s="146" t="s">
        <v>6</v>
      </c>
      <c r="X26" s="147" t="s">
        <v>5</v>
      </c>
    </row>
    <row r="27" spans="2:28" x14ac:dyDescent="0.25">
      <c r="B27" s="34" t="s">
        <v>89</v>
      </c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>
        <v>7500</v>
      </c>
      <c r="O27" s="60" t="s">
        <v>90</v>
      </c>
      <c r="P27" s="61">
        <f>Emprunt!K4</f>
        <v>3214.2857142857142</v>
      </c>
      <c r="S27" s="148" t="s">
        <v>8</v>
      </c>
      <c r="T27" s="148">
        <f>SUM(T28:T31)</f>
        <v>236500</v>
      </c>
      <c r="U27" s="148">
        <f>SUM(U28:U29)</f>
        <v>42314.285714285717</v>
      </c>
      <c r="V27" s="148">
        <f>SUM(V28:V29)</f>
        <v>194185.71428571429</v>
      </c>
      <c r="W27" s="148" t="s">
        <v>9</v>
      </c>
      <c r="X27" s="149">
        <f>SUM(X28:X31)</f>
        <v>-363086.28571428568</v>
      </c>
      <c r="AA27" s="225"/>
      <c r="AB27" s="226"/>
    </row>
    <row r="28" spans="2:28" x14ac:dyDescent="0.25">
      <c r="B28" s="34" t="s">
        <v>92</v>
      </c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>
        <f>P27</f>
        <v>3214.2857142857142</v>
      </c>
      <c r="O28" s="60" t="s">
        <v>93</v>
      </c>
      <c r="P28" s="61">
        <f>SUM(C29:N29)</f>
        <v>10714.285714285714</v>
      </c>
      <c r="S28" s="150" t="s">
        <v>11</v>
      </c>
      <c r="T28" s="150">
        <v>159000</v>
      </c>
      <c r="U28" s="150">
        <f>8500+AB31</f>
        <v>8500</v>
      </c>
      <c r="V28" s="150">
        <f>T28-U28</f>
        <v>150500</v>
      </c>
      <c r="W28" s="150" t="s">
        <v>12</v>
      </c>
      <c r="X28" s="151">
        <v>50000</v>
      </c>
      <c r="AA28" s="155"/>
      <c r="AB28" s="155"/>
    </row>
    <row r="29" spans="2:28" x14ac:dyDescent="0.25">
      <c r="B29" s="59" t="s">
        <v>94</v>
      </c>
      <c r="C29" s="59">
        <f>C27+C28</f>
        <v>0</v>
      </c>
      <c r="D29" s="59">
        <f t="shared" ref="D29:N29" si="11">D27+D28</f>
        <v>0</v>
      </c>
      <c r="E29" s="59">
        <f t="shared" si="11"/>
        <v>0</v>
      </c>
      <c r="F29" s="59">
        <f t="shared" si="11"/>
        <v>0</v>
      </c>
      <c r="G29" s="59">
        <f t="shared" si="11"/>
        <v>0</v>
      </c>
      <c r="H29" s="59">
        <f t="shared" si="11"/>
        <v>0</v>
      </c>
      <c r="I29" s="59">
        <f t="shared" si="11"/>
        <v>0</v>
      </c>
      <c r="J29" s="59">
        <f t="shared" si="11"/>
        <v>0</v>
      </c>
      <c r="K29" s="59">
        <f t="shared" si="11"/>
        <v>0</v>
      </c>
      <c r="L29" s="59">
        <f t="shared" si="11"/>
        <v>0</v>
      </c>
      <c r="M29" s="59">
        <f t="shared" si="11"/>
        <v>0</v>
      </c>
      <c r="N29" s="59">
        <f t="shared" si="11"/>
        <v>10714.285714285714</v>
      </c>
      <c r="O29" s="34"/>
      <c r="P29" s="34"/>
      <c r="S29" s="150" t="s">
        <v>14</v>
      </c>
      <c r="T29" s="150">
        <f>55000+22500</f>
        <v>77500</v>
      </c>
      <c r="U29" s="150">
        <f>30600+AA30+P27</f>
        <v>33814.285714285717</v>
      </c>
      <c r="V29" s="150">
        <f>T29-U29</f>
        <v>43685.714285714283</v>
      </c>
      <c r="W29" s="150" t="s">
        <v>15</v>
      </c>
      <c r="X29" s="151">
        <v>5000</v>
      </c>
      <c r="AA29" s="155"/>
      <c r="AB29" s="155"/>
    </row>
    <row r="30" spans="2:28" ht="30" x14ac:dyDescent="0.25">
      <c r="B30" s="34" t="s">
        <v>95</v>
      </c>
      <c r="C30" s="34">
        <f t="shared" ref="C30:N30" si="12">307500/12</f>
        <v>25625</v>
      </c>
      <c r="D30" s="34">
        <f t="shared" si="12"/>
        <v>25625</v>
      </c>
      <c r="E30" s="34">
        <f t="shared" si="12"/>
        <v>25625</v>
      </c>
      <c r="F30" s="34">
        <f t="shared" si="12"/>
        <v>25625</v>
      </c>
      <c r="G30" s="34">
        <f t="shared" si="12"/>
        <v>25625</v>
      </c>
      <c r="H30" s="34">
        <f t="shared" si="12"/>
        <v>25625</v>
      </c>
      <c r="I30" s="34">
        <f t="shared" si="12"/>
        <v>25625</v>
      </c>
      <c r="J30" s="34">
        <f t="shared" si="12"/>
        <v>25625</v>
      </c>
      <c r="K30" s="34">
        <f t="shared" si="12"/>
        <v>25625</v>
      </c>
      <c r="L30" s="34">
        <f t="shared" si="12"/>
        <v>25625</v>
      </c>
      <c r="M30" s="34">
        <f t="shared" si="12"/>
        <v>25625</v>
      </c>
      <c r="N30" s="34">
        <f t="shared" si="12"/>
        <v>25625</v>
      </c>
      <c r="O30" s="37"/>
      <c r="P30" s="37"/>
      <c r="S30" s="148"/>
      <c r="T30" s="148"/>
      <c r="U30" s="148"/>
      <c r="V30" s="148"/>
      <c r="W30" s="150" t="s">
        <v>17</v>
      </c>
      <c r="X30" s="151">
        <f>17900+'Bilan et CDR N'!C23</f>
        <v>22728</v>
      </c>
      <c r="AA30" s="155"/>
      <c r="AB30" s="155"/>
    </row>
    <row r="31" spans="2:28" x14ac:dyDescent="0.25">
      <c r="B31" s="59" t="s">
        <v>96</v>
      </c>
      <c r="C31" s="59">
        <f t="shared" ref="C31:N31" si="13">C30</f>
        <v>25625</v>
      </c>
      <c r="D31" s="59">
        <f t="shared" si="13"/>
        <v>25625</v>
      </c>
      <c r="E31" s="59">
        <f t="shared" si="13"/>
        <v>25625</v>
      </c>
      <c r="F31" s="59">
        <f t="shared" si="13"/>
        <v>25625</v>
      </c>
      <c r="G31" s="59">
        <f t="shared" si="13"/>
        <v>25625</v>
      </c>
      <c r="H31" s="59">
        <f t="shared" si="13"/>
        <v>25625</v>
      </c>
      <c r="I31" s="59">
        <f t="shared" si="13"/>
        <v>25625</v>
      </c>
      <c r="J31" s="59">
        <f t="shared" si="13"/>
        <v>25625</v>
      </c>
      <c r="K31" s="59">
        <f t="shared" si="13"/>
        <v>25625</v>
      </c>
      <c r="L31" s="59">
        <f t="shared" si="13"/>
        <v>25625</v>
      </c>
      <c r="M31" s="59">
        <f t="shared" si="13"/>
        <v>25625</v>
      </c>
      <c r="N31" s="59">
        <f t="shared" si="13"/>
        <v>25625</v>
      </c>
      <c r="O31" s="60" t="s">
        <v>97</v>
      </c>
      <c r="P31" s="61">
        <f>SUM(C31:N31)</f>
        <v>307500</v>
      </c>
      <c r="S31" s="150"/>
      <c r="T31" s="150"/>
      <c r="U31" s="150"/>
      <c r="V31" s="150"/>
      <c r="W31" s="150" t="s">
        <v>19</v>
      </c>
      <c r="X31" s="151">
        <f>T21</f>
        <v>-440814.28571428568</v>
      </c>
      <c r="AA31" s="155"/>
      <c r="AB31" s="155"/>
    </row>
    <row r="32" spans="2:28" x14ac:dyDescent="0.25">
      <c r="B32" s="34" t="s">
        <v>21</v>
      </c>
      <c r="C32" s="34">
        <f t="shared" ref="C32:N32" si="14">C30*0.4</f>
        <v>10250</v>
      </c>
      <c r="D32" s="34">
        <f t="shared" si="14"/>
        <v>10250</v>
      </c>
      <c r="E32" s="34">
        <f t="shared" si="14"/>
        <v>10250</v>
      </c>
      <c r="F32" s="34">
        <f t="shared" si="14"/>
        <v>10250</v>
      </c>
      <c r="G32" s="34">
        <f t="shared" si="14"/>
        <v>10250</v>
      </c>
      <c r="H32" s="34">
        <f t="shared" si="14"/>
        <v>10250</v>
      </c>
      <c r="I32" s="34">
        <f t="shared" si="14"/>
        <v>10250</v>
      </c>
      <c r="J32" s="34">
        <f t="shared" si="14"/>
        <v>10250</v>
      </c>
      <c r="K32" s="34">
        <f t="shared" si="14"/>
        <v>10250</v>
      </c>
      <c r="L32" s="34">
        <f t="shared" si="14"/>
        <v>10250</v>
      </c>
      <c r="M32" s="34">
        <f t="shared" si="14"/>
        <v>10250</v>
      </c>
      <c r="N32" s="34">
        <f t="shared" si="14"/>
        <v>10250</v>
      </c>
      <c r="O32" s="60" t="s">
        <v>98</v>
      </c>
      <c r="P32" s="61">
        <f>SUM(C32:N32)</f>
        <v>123000</v>
      </c>
      <c r="S32" s="152"/>
      <c r="T32" s="153"/>
      <c r="V32" s="153"/>
      <c r="W32" s="151"/>
      <c r="X32" s="149"/>
    </row>
    <row r="33" spans="2:24" x14ac:dyDescent="0.25">
      <c r="B33" s="59" t="s">
        <v>99</v>
      </c>
      <c r="C33" s="59">
        <v>16000</v>
      </c>
      <c r="D33" s="59">
        <f t="shared" ref="D33:N33" si="15">C32</f>
        <v>10250</v>
      </c>
      <c r="E33" s="59">
        <f t="shared" si="15"/>
        <v>10250</v>
      </c>
      <c r="F33" s="59">
        <f t="shared" si="15"/>
        <v>10250</v>
      </c>
      <c r="G33" s="59">
        <f t="shared" si="15"/>
        <v>10250</v>
      </c>
      <c r="H33" s="59">
        <f t="shared" si="15"/>
        <v>10250</v>
      </c>
      <c r="I33" s="59">
        <f t="shared" si="15"/>
        <v>10250</v>
      </c>
      <c r="J33" s="59">
        <f t="shared" si="15"/>
        <v>10250</v>
      </c>
      <c r="K33" s="59">
        <f t="shared" si="15"/>
        <v>10250</v>
      </c>
      <c r="L33" s="59">
        <f t="shared" si="15"/>
        <v>10250</v>
      </c>
      <c r="M33" s="59">
        <f t="shared" si="15"/>
        <v>10250</v>
      </c>
      <c r="N33" s="59">
        <f t="shared" si="15"/>
        <v>10250</v>
      </c>
      <c r="O33" s="60" t="s">
        <v>100</v>
      </c>
      <c r="P33" s="61">
        <f>N32</f>
        <v>10250</v>
      </c>
      <c r="S33" s="148" t="s">
        <v>22</v>
      </c>
      <c r="T33" s="148">
        <f>SUM(T34:T36)</f>
        <v>-340286.66666666657</v>
      </c>
      <c r="U33" s="148">
        <f>SUM(U34:U36)</f>
        <v>0</v>
      </c>
      <c r="V33" s="148">
        <f>SUM(V34:V36)</f>
        <v>-340286.66666666657</v>
      </c>
      <c r="W33" s="148" t="s">
        <v>23</v>
      </c>
      <c r="X33" s="149">
        <f>SUM(X34:X37)</f>
        <v>100463.33333333333</v>
      </c>
    </row>
    <row r="34" spans="2:24" ht="30" x14ac:dyDescent="0.25">
      <c r="S34" s="150" t="s">
        <v>25</v>
      </c>
      <c r="T34" s="150">
        <v>15000</v>
      </c>
      <c r="U34" s="150"/>
      <c r="V34" s="150">
        <f>T34-U34</f>
        <v>15000</v>
      </c>
      <c r="W34" s="150" t="s">
        <v>26</v>
      </c>
      <c r="X34" s="151">
        <f>Emprunt!G9</f>
        <v>90000</v>
      </c>
    </row>
    <row r="35" spans="2:24" ht="30" x14ac:dyDescent="0.25">
      <c r="S35" s="150" t="s">
        <v>28</v>
      </c>
      <c r="T35" s="150">
        <f>P8</f>
        <v>168000</v>
      </c>
      <c r="U35" s="150"/>
      <c r="V35" s="150">
        <f>T35-U35</f>
        <v>168000</v>
      </c>
      <c r="W35" s="150" t="s">
        <v>29</v>
      </c>
      <c r="X35" s="151">
        <f>P64+P33</f>
        <v>10463.333333333334</v>
      </c>
    </row>
    <row r="36" spans="2:24" ht="30" x14ac:dyDescent="0.25">
      <c r="B36" s="219" t="s">
        <v>366</v>
      </c>
      <c r="C36" s="219"/>
      <c r="D36" s="219"/>
      <c r="E36" s="219"/>
      <c r="F36" s="219"/>
      <c r="G36" s="219"/>
      <c r="H36" s="219"/>
      <c r="I36" s="219"/>
      <c r="J36" s="219"/>
      <c r="K36" s="219"/>
      <c r="L36" s="219"/>
      <c r="M36" s="219"/>
      <c r="N36" s="219"/>
      <c r="O36" s="219"/>
      <c r="P36" s="219"/>
      <c r="S36" s="150" t="s">
        <v>34</v>
      </c>
      <c r="T36" s="150">
        <f>N85</f>
        <v>-523286.66666666657</v>
      </c>
      <c r="U36" s="150"/>
      <c r="V36" s="150">
        <f>T36-U36</f>
        <v>-523286.66666666657</v>
      </c>
      <c r="W36" s="150" t="s">
        <v>32</v>
      </c>
      <c r="X36" s="151">
        <f>'HYP 1 '!AC85+'HYP 1 '!AC54</f>
        <v>0</v>
      </c>
    </row>
    <row r="37" spans="2:24" x14ac:dyDescent="0.25">
      <c r="B37" s="213"/>
      <c r="C37" s="215" t="s">
        <v>50</v>
      </c>
      <c r="D37" s="215" t="s">
        <v>51</v>
      </c>
      <c r="E37" s="215" t="s">
        <v>52</v>
      </c>
      <c r="F37" s="215" t="s">
        <v>53</v>
      </c>
      <c r="G37" s="215" t="s">
        <v>54</v>
      </c>
      <c r="H37" s="215" t="s">
        <v>55</v>
      </c>
      <c r="I37" s="215" t="s">
        <v>56</v>
      </c>
      <c r="J37" s="215" t="s">
        <v>57</v>
      </c>
      <c r="K37" s="215" t="s">
        <v>58</v>
      </c>
      <c r="L37" s="215" t="s">
        <v>59</v>
      </c>
      <c r="M37" s="215" t="s">
        <v>60</v>
      </c>
      <c r="N37" s="215" t="s">
        <v>61</v>
      </c>
      <c r="O37" s="220" t="s">
        <v>62</v>
      </c>
      <c r="P37" s="221"/>
      <c r="S37" s="150"/>
      <c r="T37" s="150"/>
      <c r="U37" s="150"/>
      <c r="V37" s="150"/>
      <c r="W37" s="150"/>
      <c r="X37" s="151"/>
    </row>
    <row r="38" spans="2:24" x14ac:dyDescent="0.25">
      <c r="B38" s="214"/>
      <c r="C38" s="216"/>
      <c r="D38" s="216"/>
      <c r="E38" s="216"/>
      <c r="F38" s="216"/>
      <c r="G38" s="216"/>
      <c r="H38" s="216"/>
      <c r="I38" s="216"/>
      <c r="J38" s="216"/>
      <c r="K38" s="216"/>
      <c r="L38" s="216"/>
      <c r="M38" s="216"/>
      <c r="N38" s="216"/>
      <c r="O38" s="58" t="s">
        <v>64</v>
      </c>
      <c r="P38" s="58" t="s">
        <v>65</v>
      </c>
      <c r="S38" s="156" t="s">
        <v>38</v>
      </c>
      <c r="T38" s="156">
        <f>T27+T33</f>
        <v>-103786.66666666657</v>
      </c>
      <c r="U38" s="156">
        <f>U27</f>
        <v>42314.285714285717</v>
      </c>
      <c r="V38" s="156">
        <f>T38-U38</f>
        <v>-146100.95238095228</v>
      </c>
      <c r="W38" s="156" t="s">
        <v>39</v>
      </c>
      <c r="X38" s="157">
        <f>X27+X33</f>
        <v>-262622.95238095237</v>
      </c>
    </row>
    <row r="39" spans="2:24" x14ac:dyDescent="0.25">
      <c r="B39" s="46" t="s">
        <v>102</v>
      </c>
      <c r="C39" s="35"/>
      <c r="D39" s="35"/>
      <c r="E39" s="35"/>
      <c r="F39" s="35"/>
      <c r="G39" s="35"/>
      <c r="H39" s="35"/>
      <c r="I39" s="35"/>
      <c r="J39" s="35"/>
      <c r="K39" s="35"/>
      <c r="L39" s="35">
        <v>8200</v>
      </c>
      <c r="M39" s="35"/>
      <c r="N39" s="35"/>
      <c r="O39" s="60" t="s">
        <v>103</v>
      </c>
      <c r="P39" s="61">
        <f>SUM(C39:N39)</f>
        <v>8200</v>
      </c>
      <c r="W39" s="20" t="s">
        <v>104</v>
      </c>
      <c r="X39" s="159">
        <f>V38-X38</f>
        <v>116522.00000000009</v>
      </c>
    </row>
    <row r="40" spans="2:24" x14ac:dyDescent="0.25">
      <c r="B40" s="34" t="s">
        <v>105</v>
      </c>
      <c r="C40" s="34"/>
      <c r="D40" s="34"/>
      <c r="E40" s="34"/>
      <c r="F40" s="34"/>
      <c r="G40" s="34"/>
      <c r="H40" s="34"/>
      <c r="I40" s="34"/>
      <c r="J40" s="34"/>
      <c r="K40" s="34"/>
      <c r="L40" s="35">
        <v>8200</v>
      </c>
      <c r="M40" s="34"/>
      <c r="N40" s="34"/>
      <c r="O40" s="34"/>
      <c r="P40" s="34"/>
    </row>
    <row r="41" spans="2:24" x14ac:dyDescent="0.25">
      <c r="B41" s="34" t="s">
        <v>106</v>
      </c>
      <c r="C41" s="34">
        <f t="shared" ref="C41:N41" si="16">$P$41/12</f>
        <v>350</v>
      </c>
      <c r="D41" s="34">
        <f t="shared" si="16"/>
        <v>350</v>
      </c>
      <c r="E41" s="34">
        <f t="shared" si="16"/>
        <v>350</v>
      </c>
      <c r="F41" s="34">
        <f t="shared" si="16"/>
        <v>350</v>
      </c>
      <c r="G41" s="34">
        <f t="shared" si="16"/>
        <v>350</v>
      </c>
      <c r="H41" s="34">
        <f t="shared" si="16"/>
        <v>350</v>
      </c>
      <c r="I41" s="34">
        <f t="shared" si="16"/>
        <v>350</v>
      </c>
      <c r="J41" s="34">
        <f t="shared" si="16"/>
        <v>350</v>
      </c>
      <c r="K41" s="34">
        <f t="shared" si="16"/>
        <v>350</v>
      </c>
      <c r="L41" s="34">
        <f t="shared" si="16"/>
        <v>350</v>
      </c>
      <c r="M41" s="34">
        <f t="shared" si="16"/>
        <v>350</v>
      </c>
      <c r="N41" s="34">
        <f t="shared" si="16"/>
        <v>350</v>
      </c>
      <c r="O41" s="60" t="s">
        <v>107</v>
      </c>
      <c r="P41" s="61">
        <f>Emprunt!D9</f>
        <v>4200</v>
      </c>
    </row>
    <row r="42" spans="2:24" x14ac:dyDescent="0.25">
      <c r="B42" s="34" t="s">
        <v>108</v>
      </c>
      <c r="C42" s="34">
        <f t="shared" ref="C42:N42" si="17">$P$42/12</f>
        <v>2500</v>
      </c>
      <c r="D42" s="34">
        <f t="shared" si="17"/>
        <v>2500</v>
      </c>
      <c r="E42" s="34">
        <f t="shared" si="17"/>
        <v>2500</v>
      </c>
      <c r="F42" s="34">
        <f t="shared" si="17"/>
        <v>2500</v>
      </c>
      <c r="G42" s="34">
        <f t="shared" si="17"/>
        <v>2500</v>
      </c>
      <c r="H42" s="34">
        <f t="shared" si="17"/>
        <v>2500</v>
      </c>
      <c r="I42" s="34">
        <f t="shared" si="17"/>
        <v>2500</v>
      </c>
      <c r="J42" s="34">
        <f t="shared" si="17"/>
        <v>2500</v>
      </c>
      <c r="K42" s="34">
        <f t="shared" si="17"/>
        <v>2500</v>
      </c>
      <c r="L42" s="34">
        <f t="shared" si="17"/>
        <v>2500</v>
      </c>
      <c r="M42" s="34">
        <f t="shared" si="17"/>
        <v>2500</v>
      </c>
      <c r="N42" s="34">
        <f t="shared" si="17"/>
        <v>2500</v>
      </c>
      <c r="O42" s="60" t="s">
        <v>109</v>
      </c>
      <c r="P42" s="61">
        <f>Emprunt!E9</f>
        <v>30000</v>
      </c>
    </row>
    <row r="43" spans="2:24" x14ac:dyDescent="0.25">
      <c r="B43" s="59" t="s">
        <v>71</v>
      </c>
      <c r="C43" s="59">
        <f>C41+C42</f>
        <v>2850</v>
      </c>
      <c r="D43" s="59">
        <f t="shared" ref="D43:N43" si="18">D41+D42</f>
        <v>2850</v>
      </c>
      <c r="E43" s="59">
        <f t="shared" si="18"/>
        <v>2850</v>
      </c>
      <c r="F43" s="59">
        <f t="shared" si="18"/>
        <v>2850</v>
      </c>
      <c r="G43" s="59">
        <f t="shared" si="18"/>
        <v>2850</v>
      </c>
      <c r="H43" s="59">
        <f t="shared" si="18"/>
        <v>2850</v>
      </c>
      <c r="I43" s="59">
        <f t="shared" si="18"/>
        <v>2850</v>
      </c>
      <c r="J43" s="59">
        <f t="shared" si="18"/>
        <v>2850</v>
      </c>
      <c r="K43" s="59">
        <f t="shared" si="18"/>
        <v>2850</v>
      </c>
      <c r="L43" s="59">
        <f t="shared" si="18"/>
        <v>2850</v>
      </c>
      <c r="M43" s="59">
        <f t="shared" si="18"/>
        <v>2850</v>
      </c>
      <c r="N43" s="59">
        <f t="shared" si="18"/>
        <v>2850</v>
      </c>
      <c r="O43" s="38"/>
      <c r="P43" s="38"/>
    </row>
    <row r="46" spans="2:24" x14ac:dyDescent="0.25">
      <c r="B46" s="177" t="s">
        <v>367</v>
      </c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</row>
    <row r="47" spans="2:24" x14ac:dyDescent="0.25">
      <c r="B47" s="213"/>
      <c r="C47" s="215" t="s">
        <v>50</v>
      </c>
      <c r="D47" s="215" t="s">
        <v>51</v>
      </c>
      <c r="E47" s="215" t="s">
        <v>52</v>
      </c>
      <c r="F47" s="215" t="s">
        <v>53</v>
      </c>
      <c r="G47" s="215" t="s">
        <v>54</v>
      </c>
      <c r="H47" s="215" t="s">
        <v>55</v>
      </c>
      <c r="I47" s="215" t="s">
        <v>56</v>
      </c>
      <c r="J47" s="215" t="s">
        <v>57</v>
      </c>
      <c r="K47" s="215" t="s">
        <v>58</v>
      </c>
      <c r="L47" s="215" t="s">
        <v>59</v>
      </c>
      <c r="M47" s="215" t="s">
        <v>60</v>
      </c>
      <c r="N47" s="215" t="s">
        <v>61</v>
      </c>
      <c r="O47" s="220" t="s">
        <v>62</v>
      </c>
      <c r="P47" s="221"/>
    </row>
    <row r="48" spans="2:24" x14ac:dyDescent="0.25">
      <c r="B48" s="214"/>
      <c r="C48" s="216"/>
      <c r="D48" s="216"/>
      <c r="E48" s="216"/>
      <c r="F48" s="216"/>
      <c r="G48" s="216"/>
      <c r="H48" s="216"/>
      <c r="I48" s="216"/>
      <c r="J48" s="216"/>
      <c r="K48" s="216"/>
      <c r="L48" s="216"/>
      <c r="M48" s="216"/>
      <c r="N48" s="216"/>
      <c r="O48" s="58" t="s">
        <v>64</v>
      </c>
      <c r="P48" s="58" t="s">
        <v>65</v>
      </c>
    </row>
    <row r="49" spans="2:16" x14ac:dyDescent="0.25">
      <c r="B49" s="35" t="s">
        <v>111</v>
      </c>
      <c r="C49" s="35">
        <f>Emprunt!J4</f>
        <v>22500</v>
      </c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60" t="s">
        <v>112</v>
      </c>
      <c r="P49" s="61">
        <f>SUM(C49:N49)</f>
        <v>22500</v>
      </c>
    </row>
    <row r="50" spans="2:16" x14ac:dyDescent="0.25">
      <c r="B50" s="34" t="s">
        <v>113</v>
      </c>
      <c r="C50" s="34">
        <f>C49*20%</f>
        <v>4500</v>
      </c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</row>
    <row r="51" spans="2:16" x14ac:dyDescent="0.25">
      <c r="B51" s="34" t="s">
        <v>114</v>
      </c>
      <c r="C51" s="34">
        <f>C49+C50</f>
        <v>27000</v>
      </c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</row>
    <row r="52" spans="2:16" x14ac:dyDescent="0.25">
      <c r="B52" s="59" t="s">
        <v>81</v>
      </c>
      <c r="C52" s="59">
        <f>C51</f>
        <v>27000</v>
      </c>
      <c r="D52" s="59"/>
      <c r="E52" s="59"/>
      <c r="F52" s="59"/>
      <c r="G52" s="59"/>
      <c r="H52" s="59"/>
      <c r="I52" s="59"/>
      <c r="J52" s="59"/>
      <c r="K52" s="59"/>
      <c r="L52" s="59"/>
      <c r="M52" s="59"/>
      <c r="N52" s="59"/>
      <c r="O52" s="60" t="s">
        <v>115</v>
      </c>
      <c r="P52" s="61">
        <v>0</v>
      </c>
    </row>
    <row r="55" spans="2:16" x14ac:dyDescent="0.25">
      <c r="B55" s="177" t="s">
        <v>116</v>
      </c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</row>
    <row r="56" spans="2:16" x14ac:dyDescent="0.25">
      <c r="B56" s="213"/>
      <c r="C56" s="215" t="s">
        <v>50</v>
      </c>
      <c r="D56" s="215" t="s">
        <v>51</v>
      </c>
      <c r="E56" s="215" t="s">
        <v>52</v>
      </c>
      <c r="F56" s="215" t="s">
        <v>53</v>
      </c>
      <c r="G56" s="215" t="s">
        <v>54</v>
      </c>
      <c r="H56" s="215" t="s">
        <v>55</v>
      </c>
      <c r="I56" s="215" t="s">
        <v>56</v>
      </c>
      <c r="J56" s="215" t="s">
        <v>57</v>
      </c>
      <c r="K56" s="215" t="s">
        <v>58</v>
      </c>
      <c r="L56" s="215" t="s">
        <v>59</v>
      </c>
      <c r="M56" s="215" t="s">
        <v>60</v>
      </c>
      <c r="N56" s="215" t="s">
        <v>61</v>
      </c>
      <c r="O56" s="220" t="s">
        <v>62</v>
      </c>
      <c r="P56" s="221"/>
    </row>
    <row r="57" spans="2:16" x14ac:dyDescent="0.25">
      <c r="B57" s="214"/>
      <c r="C57" s="216"/>
      <c r="D57" s="216"/>
      <c r="E57" s="216"/>
      <c r="F57" s="216"/>
      <c r="G57" s="216"/>
      <c r="H57" s="216"/>
      <c r="I57" s="216"/>
      <c r="J57" s="216"/>
      <c r="K57" s="216"/>
      <c r="L57" s="216"/>
      <c r="M57" s="216"/>
      <c r="N57" s="216"/>
      <c r="O57" s="58" t="s">
        <v>64</v>
      </c>
      <c r="P57" s="58" t="s">
        <v>65</v>
      </c>
    </row>
    <row r="58" spans="2:16" x14ac:dyDescent="0.25">
      <c r="B58" s="59" t="s">
        <v>68</v>
      </c>
      <c r="C58" s="59">
        <f t="shared" ref="C58:N58" si="19">C6</f>
        <v>2333.3333333333335</v>
      </c>
      <c r="D58" s="59">
        <f t="shared" si="19"/>
        <v>2333.3333333333335</v>
      </c>
      <c r="E58" s="59">
        <f t="shared" si="19"/>
        <v>2333.3333333333335</v>
      </c>
      <c r="F58" s="59">
        <f t="shared" si="19"/>
        <v>2333.3333333333335</v>
      </c>
      <c r="G58" s="59">
        <f t="shared" si="19"/>
        <v>2333.3333333333335</v>
      </c>
      <c r="H58" s="59">
        <f t="shared" si="19"/>
        <v>2333.3333333333335</v>
      </c>
      <c r="I58" s="59">
        <f t="shared" si="19"/>
        <v>2333.3333333333335</v>
      </c>
      <c r="J58" s="59">
        <f t="shared" si="19"/>
        <v>2333.3333333333335</v>
      </c>
      <c r="K58" s="59">
        <f t="shared" si="19"/>
        <v>2333.3333333333335</v>
      </c>
      <c r="L58" s="59">
        <f t="shared" si="19"/>
        <v>2333.3333333333335</v>
      </c>
      <c r="M58" s="59">
        <f t="shared" si="19"/>
        <v>2333.3333333333335</v>
      </c>
      <c r="N58" s="59">
        <f t="shared" si="19"/>
        <v>2333.3333333333335</v>
      </c>
      <c r="O58" s="34"/>
      <c r="P58" s="34"/>
    </row>
    <row r="59" spans="2:16" x14ac:dyDescent="0.25">
      <c r="B59" s="34" t="s">
        <v>79</v>
      </c>
      <c r="C59" s="34">
        <f t="shared" ref="C59:N59" si="20">C15</f>
        <v>700</v>
      </c>
      <c r="D59" s="34">
        <f t="shared" si="20"/>
        <v>700</v>
      </c>
      <c r="E59" s="34">
        <f t="shared" si="20"/>
        <v>700</v>
      </c>
      <c r="F59" s="34">
        <f t="shared" si="20"/>
        <v>700</v>
      </c>
      <c r="G59" s="34">
        <f t="shared" si="20"/>
        <v>700</v>
      </c>
      <c r="H59" s="34">
        <f t="shared" si="20"/>
        <v>700</v>
      </c>
      <c r="I59" s="34">
        <f t="shared" si="20"/>
        <v>700</v>
      </c>
      <c r="J59" s="34">
        <f t="shared" si="20"/>
        <v>700</v>
      </c>
      <c r="K59" s="34">
        <f t="shared" si="20"/>
        <v>700</v>
      </c>
      <c r="L59" s="34">
        <f t="shared" si="20"/>
        <v>700</v>
      </c>
      <c r="M59" s="34">
        <f t="shared" si="20"/>
        <v>700</v>
      </c>
      <c r="N59" s="34">
        <f t="shared" si="20"/>
        <v>700</v>
      </c>
      <c r="O59" s="34"/>
      <c r="P59" s="34"/>
    </row>
    <row r="60" spans="2:16" x14ac:dyDescent="0.25">
      <c r="B60" s="34" t="s">
        <v>86</v>
      </c>
      <c r="C60" s="34">
        <f t="shared" ref="C60:N60" si="21">C24</f>
        <v>1420</v>
      </c>
      <c r="D60" s="34">
        <f t="shared" si="21"/>
        <v>1420</v>
      </c>
      <c r="E60" s="34">
        <f t="shared" si="21"/>
        <v>1420</v>
      </c>
      <c r="F60" s="34">
        <f t="shared" si="21"/>
        <v>1420</v>
      </c>
      <c r="G60" s="34">
        <f t="shared" si="21"/>
        <v>1420</v>
      </c>
      <c r="H60" s="34">
        <f t="shared" si="21"/>
        <v>1420</v>
      </c>
      <c r="I60" s="34">
        <f t="shared" si="21"/>
        <v>1420</v>
      </c>
      <c r="J60" s="34">
        <f t="shared" si="21"/>
        <v>1420</v>
      </c>
      <c r="K60" s="34">
        <f t="shared" si="21"/>
        <v>1420</v>
      </c>
      <c r="L60" s="34">
        <f t="shared" si="21"/>
        <v>1420</v>
      </c>
      <c r="M60" s="34">
        <f t="shared" si="21"/>
        <v>1420</v>
      </c>
      <c r="N60" s="34">
        <f t="shared" si="21"/>
        <v>1420</v>
      </c>
      <c r="O60" s="34"/>
      <c r="P60" s="34"/>
    </row>
    <row r="61" spans="2:16" x14ac:dyDescent="0.25">
      <c r="B61" s="59" t="s">
        <v>113</v>
      </c>
      <c r="C61" s="59">
        <f>C50</f>
        <v>4500</v>
      </c>
      <c r="D61" s="59">
        <f t="shared" ref="D61:N61" si="22">D50</f>
        <v>0</v>
      </c>
      <c r="E61" s="59">
        <f t="shared" si="22"/>
        <v>0</v>
      </c>
      <c r="F61" s="59">
        <f t="shared" si="22"/>
        <v>0</v>
      </c>
      <c r="G61" s="59">
        <f t="shared" si="22"/>
        <v>0</v>
      </c>
      <c r="H61" s="59">
        <f t="shared" si="22"/>
        <v>0</v>
      </c>
      <c r="I61" s="59">
        <f t="shared" si="22"/>
        <v>0</v>
      </c>
      <c r="J61" s="59">
        <f t="shared" si="22"/>
        <v>0</v>
      </c>
      <c r="K61" s="59">
        <f t="shared" si="22"/>
        <v>0</v>
      </c>
      <c r="L61" s="59">
        <f t="shared" si="22"/>
        <v>0</v>
      </c>
      <c r="M61" s="59">
        <f t="shared" si="22"/>
        <v>0</v>
      </c>
      <c r="N61" s="59">
        <f t="shared" si="22"/>
        <v>0</v>
      </c>
      <c r="O61" s="34"/>
      <c r="P61" s="34"/>
    </row>
    <row r="62" spans="2:16" x14ac:dyDescent="0.25">
      <c r="B62" s="44" t="s">
        <v>117</v>
      </c>
      <c r="C62" s="42">
        <f>C59+C60+C61</f>
        <v>6620</v>
      </c>
      <c r="D62" s="42">
        <f t="shared" ref="D62:N62" si="23">D59+D60+D61</f>
        <v>2120</v>
      </c>
      <c r="E62" s="42">
        <f t="shared" si="23"/>
        <v>2120</v>
      </c>
      <c r="F62" s="42">
        <f t="shared" si="23"/>
        <v>2120</v>
      </c>
      <c r="G62" s="42">
        <f t="shared" si="23"/>
        <v>2120</v>
      </c>
      <c r="H62" s="42">
        <f t="shared" si="23"/>
        <v>2120</v>
      </c>
      <c r="I62" s="42">
        <f t="shared" si="23"/>
        <v>2120</v>
      </c>
      <c r="J62" s="42">
        <f t="shared" si="23"/>
        <v>2120</v>
      </c>
      <c r="K62" s="42">
        <f t="shared" si="23"/>
        <v>2120</v>
      </c>
      <c r="L62" s="42">
        <f t="shared" si="23"/>
        <v>2120</v>
      </c>
      <c r="M62" s="42">
        <f t="shared" si="23"/>
        <v>2120</v>
      </c>
      <c r="N62" s="42">
        <f t="shared" si="23"/>
        <v>2120</v>
      </c>
      <c r="O62" s="34"/>
      <c r="P62" s="34"/>
    </row>
    <row r="63" spans="2:16" x14ac:dyDescent="0.25">
      <c r="B63" s="45" t="s">
        <v>118</v>
      </c>
      <c r="C63" s="43">
        <f>C58-C62</f>
        <v>-4286.6666666666661</v>
      </c>
      <c r="D63" s="43">
        <f t="shared" ref="D63:N63" si="24">D58-D62</f>
        <v>213.33333333333348</v>
      </c>
      <c r="E63" s="43">
        <f t="shared" si="24"/>
        <v>213.33333333333348</v>
      </c>
      <c r="F63" s="43">
        <f t="shared" si="24"/>
        <v>213.33333333333348</v>
      </c>
      <c r="G63" s="43">
        <f t="shared" si="24"/>
        <v>213.33333333333348</v>
      </c>
      <c r="H63" s="43">
        <f t="shared" si="24"/>
        <v>213.33333333333348</v>
      </c>
      <c r="I63" s="43">
        <f t="shared" si="24"/>
        <v>213.33333333333348</v>
      </c>
      <c r="J63" s="43">
        <f t="shared" si="24"/>
        <v>213.33333333333348</v>
      </c>
      <c r="K63" s="43">
        <f t="shared" si="24"/>
        <v>213.33333333333348</v>
      </c>
      <c r="L63" s="43">
        <f t="shared" si="24"/>
        <v>213.33333333333348</v>
      </c>
      <c r="M63" s="43">
        <f t="shared" si="24"/>
        <v>213.33333333333348</v>
      </c>
      <c r="N63" s="43">
        <f t="shared" si="24"/>
        <v>213.33333333333348</v>
      </c>
      <c r="O63" s="34"/>
      <c r="P63" s="34"/>
    </row>
    <row r="64" spans="2:16" x14ac:dyDescent="0.25">
      <c r="B64" s="59" t="s">
        <v>81</v>
      </c>
      <c r="C64" s="59">
        <v>15000</v>
      </c>
      <c r="D64" s="59">
        <f>C63</f>
        <v>-4286.6666666666661</v>
      </c>
      <c r="E64" s="59">
        <f t="shared" ref="E64:N64" si="25">D63</f>
        <v>213.33333333333348</v>
      </c>
      <c r="F64" s="59">
        <f t="shared" si="25"/>
        <v>213.33333333333348</v>
      </c>
      <c r="G64" s="59">
        <f t="shared" si="25"/>
        <v>213.33333333333348</v>
      </c>
      <c r="H64" s="59">
        <f t="shared" si="25"/>
        <v>213.33333333333348</v>
      </c>
      <c r="I64" s="59">
        <f t="shared" si="25"/>
        <v>213.33333333333348</v>
      </c>
      <c r="J64" s="59">
        <f t="shared" si="25"/>
        <v>213.33333333333348</v>
      </c>
      <c r="K64" s="59">
        <f t="shared" si="25"/>
        <v>213.33333333333348</v>
      </c>
      <c r="L64" s="59">
        <f t="shared" si="25"/>
        <v>213.33333333333348</v>
      </c>
      <c r="M64" s="59">
        <f t="shared" si="25"/>
        <v>213.33333333333348</v>
      </c>
      <c r="N64" s="59">
        <f t="shared" si="25"/>
        <v>213.33333333333348</v>
      </c>
      <c r="O64" s="60" t="s">
        <v>119</v>
      </c>
      <c r="P64" s="61">
        <f>N63</f>
        <v>213.33333333333348</v>
      </c>
    </row>
    <row r="67" spans="2:16" x14ac:dyDescent="0.25">
      <c r="B67" s="177" t="s">
        <v>120</v>
      </c>
      <c r="C67" s="36"/>
      <c r="D67" s="36"/>
      <c r="E67" s="36"/>
      <c r="F67" s="36"/>
      <c r="G67" s="36"/>
      <c r="H67" s="36"/>
      <c r="I67" s="36"/>
      <c r="J67" s="36"/>
      <c r="K67" s="36"/>
      <c r="L67" s="36"/>
      <c r="M67" s="36"/>
      <c r="N67" s="36"/>
      <c r="O67" s="36"/>
      <c r="P67" s="36"/>
    </row>
    <row r="68" spans="2:16" x14ac:dyDescent="0.25">
      <c r="B68" s="213"/>
      <c r="C68" s="215" t="s">
        <v>50</v>
      </c>
      <c r="D68" s="215" t="s">
        <v>51</v>
      </c>
      <c r="E68" s="215" t="s">
        <v>52</v>
      </c>
      <c r="F68" s="215" t="s">
        <v>53</v>
      </c>
      <c r="G68" s="215" t="s">
        <v>54</v>
      </c>
      <c r="H68" s="215" t="s">
        <v>55</v>
      </c>
      <c r="I68" s="215" t="s">
        <v>56</v>
      </c>
      <c r="J68" s="215" t="s">
        <v>57</v>
      </c>
      <c r="K68" s="215" t="s">
        <v>58</v>
      </c>
      <c r="L68" s="215" t="s">
        <v>59</v>
      </c>
      <c r="M68" s="215" t="s">
        <v>60</v>
      </c>
      <c r="N68" s="215" t="s">
        <v>61</v>
      </c>
      <c r="O68" s="220" t="s">
        <v>62</v>
      </c>
      <c r="P68" s="221"/>
    </row>
    <row r="69" spans="2:16" x14ac:dyDescent="0.25">
      <c r="B69" s="214"/>
      <c r="C69" s="216"/>
      <c r="D69" s="216"/>
      <c r="E69" s="216"/>
      <c r="F69" s="216"/>
      <c r="G69" s="216"/>
      <c r="H69" s="216"/>
      <c r="I69" s="216"/>
      <c r="J69" s="216"/>
      <c r="K69" s="216"/>
      <c r="L69" s="216"/>
      <c r="M69" s="216"/>
      <c r="N69" s="216"/>
      <c r="O69" s="58" t="s">
        <v>64</v>
      </c>
      <c r="P69" s="58" t="s">
        <v>65</v>
      </c>
    </row>
    <row r="70" spans="2:16" x14ac:dyDescent="0.25">
      <c r="B70" s="35" t="s">
        <v>121</v>
      </c>
      <c r="C70" s="35">
        <f t="shared" ref="C70:N70" si="26">C8</f>
        <v>14000</v>
      </c>
      <c r="D70" s="35">
        <f t="shared" si="26"/>
        <v>14000</v>
      </c>
      <c r="E70" s="35">
        <f t="shared" si="26"/>
        <v>14000</v>
      </c>
      <c r="F70" s="35">
        <f t="shared" si="26"/>
        <v>14000</v>
      </c>
      <c r="G70" s="35">
        <f t="shared" si="26"/>
        <v>14000</v>
      </c>
      <c r="H70" s="35">
        <f t="shared" si="26"/>
        <v>14000</v>
      </c>
      <c r="I70" s="35">
        <f t="shared" si="26"/>
        <v>14000</v>
      </c>
      <c r="J70" s="43">
        <f t="shared" si="26"/>
        <v>14000</v>
      </c>
      <c r="K70" s="35">
        <f t="shared" si="26"/>
        <v>14000</v>
      </c>
      <c r="L70" s="35">
        <f t="shared" si="26"/>
        <v>14000</v>
      </c>
      <c r="M70" s="35">
        <f t="shared" si="26"/>
        <v>14000</v>
      </c>
      <c r="N70" s="35">
        <f t="shared" si="26"/>
        <v>14000</v>
      </c>
      <c r="O70" s="34"/>
      <c r="P70" s="34"/>
    </row>
    <row r="71" spans="2:16" x14ac:dyDescent="0.25">
      <c r="B71" s="34" t="s">
        <v>122</v>
      </c>
      <c r="C71" s="34"/>
      <c r="D71" s="34"/>
      <c r="E71" s="34"/>
      <c r="F71" s="34"/>
      <c r="G71" s="34"/>
      <c r="H71" s="34">
        <v>1500</v>
      </c>
      <c r="I71" s="34"/>
      <c r="J71" s="34"/>
      <c r="K71" s="34"/>
      <c r="L71" s="34"/>
      <c r="M71" s="34"/>
      <c r="N71" s="34"/>
      <c r="O71" s="34"/>
      <c r="P71" s="34"/>
    </row>
    <row r="72" spans="2:16" x14ac:dyDescent="0.25">
      <c r="B72" s="59" t="s">
        <v>123</v>
      </c>
      <c r="C72" s="59">
        <f>C71+C70</f>
        <v>14000</v>
      </c>
      <c r="D72" s="59">
        <f t="shared" ref="D72:N72" si="27">D71+D70</f>
        <v>14000</v>
      </c>
      <c r="E72" s="59">
        <f t="shared" si="27"/>
        <v>14000</v>
      </c>
      <c r="F72" s="59">
        <f t="shared" si="27"/>
        <v>14000</v>
      </c>
      <c r="G72" s="59">
        <f t="shared" si="27"/>
        <v>14000</v>
      </c>
      <c r="H72" s="59">
        <f t="shared" si="27"/>
        <v>15500</v>
      </c>
      <c r="I72" s="59">
        <f t="shared" si="27"/>
        <v>14000</v>
      </c>
      <c r="J72" s="59">
        <f t="shared" si="27"/>
        <v>14000</v>
      </c>
      <c r="K72" s="59">
        <f t="shared" si="27"/>
        <v>14000</v>
      </c>
      <c r="L72" s="59">
        <f t="shared" si="27"/>
        <v>14000</v>
      </c>
      <c r="M72" s="59">
        <f t="shared" si="27"/>
        <v>14000</v>
      </c>
      <c r="N72" s="59">
        <f t="shared" si="27"/>
        <v>14000</v>
      </c>
      <c r="O72" s="34"/>
      <c r="P72" s="34"/>
    </row>
    <row r="73" spans="2:16" x14ac:dyDescent="0.25">
      <c r="B73" s="39" t="s">
        <v>124</v>
      </c>
      <c r="C73" s="41">
        <f t="shared" ref="C73:N73" si="28">C17</f>
        <v>27700</v>
      </c>
      <c r="D73" s="41">
        <f t="shared" si="28"/>
        <v>4200</v>
      </c>
      <c r="E73" s="41">
        <f t="shared" si="28"/>
        <v>4200</v>
      </c>
      <c r="F73" s="41">
        <f t="shared" si="28"/>
        <v>4200</v>
      </c>
      <c r="G73" s="41">
        <f t="shared" si="28"/>
        <v>4200</v>
      </c>
      <c r="H73" s="41">
        <f t="shared" si="28"/>
        <v>4200</v>
      </c>
      <c r="I73" s="41">
        <f t="shared" si="28"/>
        <v>4200</v>
      </c>
      <c r="J73" s="41">
        <f t="shared" si="28"/>
        <v>4200</v>
      </c>
      <c r="K73" s="41">
        <f t="shared" si="28"/>
        <v>4200</v>
      </c>
      <c r="L73" s="41">
        <f t="shared" si="28"/>
        <v>4200</v>
      </c>
      <c r="M73" s="41">
        <f t="shared" si="28"/>
        <v>4200</v>
      </c>
      <c r="N73" s="41">
        <f t="shared" si="28"/>
        <v>4200</v>
      </c>
      <c r="O73" s="34"/>
      <c r="P73" s="34"/>
    </row>
    <row r="74" spans="2:16" x14ac:dyDescent="0.25">
      <c r="B74" s="35" t="s">
        <v>125</v>
      </c>
      <c r="C74" s="35">
        <f>'Bilan et CDR N'!$K$16/12</f>
        <v>375</v>
      </c>
      <c r="D74" s="35">
        <f>'Bilan et CDR N'!$K$16/12</f>
        <v>375</v>
      </c>
      <c r="E74" s="35">
        <f>'Bilan et CDR N'!$K$16/12</f>
        <v>375</v>
      </c>
      <c r="F74" s="35">
        <f>'Bilan et CDR N'!$K$16/12</f>
        <v>375</v>
      </c>
      <c r="G74" s="35">
        <f>'Bilan et CDR N'!$K$16/12</f>
        <v>375</v>
      </c>
      <c r="H74" s="35">
        <f>'Bilan et CDR N'!$K$16/12</f>
        <v>375</v>
      </c>
      <c r="I74" s="35">
        <f>'Bilan et CDR N'!$K$16/12</f>
        <v>375</v>
      </c>
      <c r="J74" s="35">
        <f>'Bilan et CDR N'!$K$16/12</f>
        <v>375</v>
      </c>
      <c r="K74" s="35">
        <f>'Bilan et CDR N'!$K$16/12</f>
        <v>375</v>
      </c>
      <c r="L74" s="35">
        <f>'Bilan et CDR N'!$K$16/12</f>
        <v>375</v>
      </c>
      <c r="M74" s="35">
        <f>'Bilan et CDR N'!$K$16/12</f>
        <v>375</v>
      </c>
      <c r="N74" s="35">
        <f>'Bilan et CDR N'!$K$16/12</f>
        <v>375</v>
      </c>
      <c r="O74" s="34"/>
      <c r="P74" s="34"/>
    </row>
    <row r="75" spans="2:16" x14ac:dyDescent="0.25">
      <c r="B75" s="39" t="s">
        <v>126</v>
      </c>
      <c r="C75" s="41">
        <f t="shared" ref="C75:N75" si="29">C31</f>
        <v>25625</v>
      </c>
      <c r="D75" s="41">
        <f t="shared" si="29"/>
        <v>25625</v>
      </c>
      <c r="E75" s="41">
        <f t="shared" si="29"/>
        <v>25625</v>
      </c>
      <c r="F75" s="41">
        <f t="shared" si="29"/>
        <v>25625</v>
      </c>
      <c r="G75" s="41">
        <f t="shared" si="29"/>
        <v>25625</v>
      </c>
      <c r="H75" s="41">
        <f t="shared" si="29"/>
        <v>25625</v>
      </c>
      <c r="I75" s="41">
        <f t="shared" si="29"/>
        <v>25625</v>
      </c>
      <c r="J75" s="41">
        <f t="shared" si="29"/>
        <v>25625</v>
      </c>
      <c r="K75" s="41">
        <f t="shared" si="29"/>
        <v>25625</v>
      </c>
      <c r="L75" s="41">
        <f t="shared" si="29"/>
        <v>25625</v>
      </c>
      <c r="M75" s="41">
        <f t="shared" si="29"/>
        <v>25625</v>
      </c>
      <c r="N75" s="41">
        <f t="shared" si="29"/>
        <v>25625</v>
      </c>
      <c r="O75" s="34"/>
      <c r="P75" s="34"/>
    </row>
    <row r="76" spans="2:16" x14ac:dyDescent="0.25">
      <c r="B76" s="35" t="s">
        <v>21</v>
      </c>
      <c r="C76" s="35">
        <f t="shared" ref="C76:N76" si="30">C33</f>
        <v>16000</v>
      </c>
      <c r="D76" s="35">
        <f t="shared" si="30"/>
        <v>10250</v>
      </c>
      <c r="E76" s="35">
        <f t="shared" si="30"/>
        <v>10250</v>
      </c>
      <c r="F76" s="35">
        <f t="shared" si="30"/>
        <v>10250</v>
      </c>
      <c r="G76" s="35">
        <f t="shared" si="30"/>
        <v>10250</v>
      </c>
      <c r="H76" s="35">
        <f t="shared" si="30"/>
        <v>10250</v>
      </c>
      <c r="I76" s="35">
        <f t="shared" si="30"/>
        <v>10250</v>
      </c>
      <c r="J76" s="35">
        <f t="shared" si="30"/>
        <v>10250</v>
      </c>
      <c r="K76" s="35">
        <f t="shared" si="30"/>
        <v>10250</v>
      </c>
      <c r="L76" s="35">
        <f t="shared" si="30"/>
        <v>10250</v>
      </c>
      <c r="M76" s="35">
        <f t="shared" si="30"/>
        <v>10250</v>
      </c>
      <c r="N76" s="35">
        <f t="shared" si="30"/>
        <v>10250</v>
      </c>
      <c r="O76" s="34"/>
      <c r="P76" s="34"/>
    </row>
    <row r="77" spans="2:16" x14ac:dyDescent="0.25">
      <c r="B77" s="39" t="s">
        <v>102</v>
      </c>
      <c r="C77" s="41">
        <f t="shared" ref="C77:N77" si="31">C40</f>
        <v>0</v>
      </c>
      <c r="D77" s="41">
        <f t="shared" si="31"/>
        <v>0</v>
      </c>
      <c r="E77" s="41">
        <f t="shared" si="31"/>
        <v>0</v>
      </c>
      <c r="F77" s="41">
        <f t="shared" si="31"/>
        <v>0</v>
      </c>
      <c r="G77" s="41">
        <f t="shared" si="31"/>
        <v>0</v>
      </c>
      <c r="H77" s="41">
        <f t="shared" si="31"/>
        <v>0</v>
      </c>
      <c r="I77" s="41">
        <f t="shared" si="31"/>
        <v>0</v>
      </c>
      <c r="J77" s="41">
        <f t="shared" si="31"/>
        <v>0</v>
      </c>
      <c r="K77" s="41">
        <f t="shared" si="31"/>
        <v>0</v>
      </c>
      <c r="L77" s="41">
        <f t="shared" si="31"/>
        <v>8200</v>
      </c>
      <c r="M77" s="41">
        <f t="shared" si="31"/>
        <v>0</v>
      </c>
      <c r="N77" s="41">
        <f t="shared" si="31"/>
        <v>0</v>
      </c>
      <c r="O77" s="34"/>
      <c r="P77" s="34"/>
    </row>
    <row r="78" spans="2:16" x14ac:dyDescent="0.25">
      <c r="B78" s="35" t="s">
        <v>127</v>
      </c>
      <c r="C78" s="35">
        <f t="shared" ref="C78:N78" si="32">C26</f>
        <v>8520</v>
      </c>
      <c r="D78" s="35">
        <f t="shared" si="32"/>
        <v>8520</v>
      </c>
      <c r="E78" s="35">
        <f t="shared" si="32"/>
        <v>8520</v>
      </c>
      <c r="F78" s="35">
        <f t="shared" si="32"/>
        <v>8520</v>
      </c>
      <c r="G78" s="35">
        <f t="shared" si="32"/>
        <v>8520</v>
      </c>
      <c r="H78" s="35">
        <f t="shared" si="32"/>
        <v>8520</v>
      </c>
      <c r="I78" s="35">
        <f t="shared" si="32"/>
        <v>8520</v>
      </c>
      <c r="J78" s="35">
        <f t="shared" si="32"/>
        <v>8520</v>
      </c>
      <c r="K78" s="35">
        <f t="shared" si="32"/>
        <v>8520</v>
      </c>
      <c r="L78" s="35">
        <f t="shared" si="32"/>
        <v>8520</v>
      </c>
      <c r="M78" s="35">
        <f t="shared" si="32"/>
        <v>8520</v>
      </c>
      <c r="N78" s="35">
        <f t="shared" si="32"/>
        <v>8520</v>
      </c>
      <c r="O78" s="34"/>
      <c r="P78" s="34"/>
    </row>
    <row r="79" spans="2:16" x14ac:dyDescent="0.25">
      <c r="B79" s="39" t="s">
        <v>128</v>
      </c>
      <c r="C79" s="41">
        <f t="shared" ref="C79:N79" si="33">C43</f>
        <v>2850</v>
      </c>
      <c r="D79" s="41">
        <f t="shared" si="33"/>
        <v>2850</v>
      </c>
      <c r="E79" s="41">
        <f t="shared" si="33"/>
        <v>2850</v>
      </c>
      <c r="F79" s="41">
        <f t="shared" si="33"/>
        <v>2850</v>
      </c>
      <c r="G79" s="41">
        <f t="shared" si="33"/>
        <v>2850</v>
      </c>
      <c r="H79" s="41">
        <f t="shared" si="33"/>
        <v>2850</v>
      </c>
      <c r="I79" s="41">
        <f t="shared" si="33"/>
        <v>2850</v>
      </c>
      <c r="J79" s="41">
        <f t="shared" si="33"/>
        <v>2850</v>
      </c>
      <c r="K79" s="41">
        <f t="shared" si="33"/>
        <v>2850</v>
      </c>
      <c r="L79" s="41">
        <f t="shared" si="33"/>
        <v>2850</v>
      </c>
      <c r="M79" s="41">
        <f t="shared" si="33"/>
        <v>2850</v>
      </c>
      <c r="N79" s="41">
        <f t="shared" si="33"/>
        <v>2850</v>
      </c>
      <c r="O79" s="34"/>
      <c r="P79" s="34"/>
    </row>
    <row r="80" spans="2:16" x14ac:dyDescent="0.25">
      <c r="B80" s="35" t="s">
        <v>129</v>
      </c>
      <c r="C80" s="35">
        <f t="shared" ref="C80:N80" si="34">C51</f>
        <v>27000</v>
      </c>
      <c r="D80" s="35">
        <f t="shared" si="34"/>
        <v>0</v>
      </c>
      <c r="E80" s="35">
        <f t="shared" si="34"/>
        <v>0</v>
      </c>
      <c r="F80" s="35">
        <f t="shared" si="34"/>
        <v>0</v>
      </c>
      <c r="G80" s="35">
        <f t="shared" si="34"/>
        <v>0</v>
      </c>
      <c r="H80" s="35">
        <f t="shared" si="34"/>
        <v>0</v>
      </c>
      <c r="I80" s="35">
        <f t="shared" si="34"/>
        <v>0</v>
      </c>
      <c r="J80" s="35">
        <f t="shared" si="34"/>
        <v>0</v>
      </c>
      <c r="K80" s="35">
        <f t="shared" si="34"/>
        <v>0</v>
      </c>
      <c r="L80" s="35">
        <f t="shared" si="34"/>
        <v>0</v>
      </c>
      <c r="M80" s="35">
        <f t="shared" si="34"/>
        <v>0</v>
      </c>
      <c r="N80" s="35">
        <f t="shared" si="34"/>
        <v>0</v>
      </c>
      <c r="O80" s="34"/>
      <c r="P80" s="34"/>
    </row>
    <row r="81" spans="2:20" x14ac:dyDescent="0.25">
      <c r="B81" s="39" t="s">
        <v>130</v>
      </c>
      <c r="C81" s="41">
        <f t="shared" ref="C81:N81" si="35">C64</f>
        <v>15000</v>
      </c>
      <c r="D81" s="41">
        <f t="shared" si="35"/>
        <v>-4286.6666666666661</v>
      </c>
      <c r="E81" s="41">
        <f t="shared" si="35"/>
        <v>213.33333333333348</v>
      </c>
      <c r="F81" s="41">
        <f t="shared" si="35"/>
        <v>213.33333333333348</v>
      </c>
      <c r="G81" s="41">
        <f t="shared" si="35"/>
        <v>213.33333333333348</v>
      </c>
      <c r="H81" s="41">
        <f t="shared" si="35"/>
        <v>213.33333333333348</v>
      </c>
      <c r="I81" s="41">
        <f t="shared" si="35"/>
        <v>213.33333333333348</v>
      </c>
      <c r="J81" s="41">
        <f t="shared" si="35"/>
        <v>213.33333333333348</v>
      </c>
      <c r="K81" s="41">
        <f t="shared" si="35"/>
        <v>213.33333333333348</v>
      </c>
      <c r="L81" s="41">
        <f t="shared" si="35"/>
        <v>213.33333333333348</v>
      </c>
      <c r="M81" s="41">
        <f t="shared" si="35"/>
        <v>213.33333333333348</v>
      </c>
      <c r="N81" s="41">
        <f t="shared" si="35"/>
        <v>213.33333333333348</v>
      </c>
      <c r="O81" s="34"/>
      <c r="P81" s="34"/>
    </row>
    <row r="82" spans="2:20" x14ac:dyDescent="0.25">
      <c r="B82" s="59" t="s">
        <v>131</v>
      </c>
      <c r="C82" s="59">
        <f>SUM(C73:C81)</f>
        <v>123070</v>
      </c>
      <c r="D82" s="59">
        <f t="shared" ref="D82:N82" si="36">SUM(D73:D81)</f>
        <v>47533.333333333336</v>
      </c>
      <c r="E82" s="59">
        <f t="shared" si="36"/>
        <v>52033.333333333336</v>
      </c>
      <c r="F82" s="59">
        <f t="shared" si="36"/>
        <v>52033.333333333336</v>
      </c>
      <c r="G82" s="59">
        <f t="shared" si="36"/>
        <v>52033.333333333336</v>
      </c>
      <c r="H82" s="59">
        <f t="shared" si="36"/>
        <v>52033.333333333336</v>
      </c>
      <c r="I82" s="59">
        <f t="shared" si="36"/>
        <v>52033.333333333336</v>
      </c>
      <c r="J82" s="59">
        <f t="shared" si="36"/>
        <v>52033.333333333336</v>
      </c>
      <c r="K82" s="59">
        <f t="shared" si="36"/>
        <v>52033.333333333336</v>
      </c>
      <c r="L82" s="59">
        <f t="shared" si="36"/>
        <v>60233.333333333336</v>
      </c>
      <c r="M82" s="59">
        <f t="shared" si="36"/>
        <v>52033.333333333336</v>
      </c>
      <c r="N82" s="59">
        <f t="shared" si="36"/>
        <v>52033.333333333336</v>
      </c>
      <c r="O82" s="34"/>
      <c r="P82" s="34"/>
    </row>
    <row r="83" spans="2:20" x14ac:dyDescent="0.25">
      <c r="B83" s="59" t="s">
        <v>132</v>
      </c>
      <c r="C83" s="59">
        <f>'Bilan et CDR N'!I16</f>
        <v>6350</v>
      </c>
      <c r="D83" s="59">
        <f>C85</f>
        <v>-102720</v>
      </c>
      <c r="E83" s="59">
        <f t="shared" ref="E83:N83" si="37">D85</f>
        <v>-136253.33333333334</v>
      </c>
      <c r="F83" s="59">
        <f t="shared" si="37"/>
        <v>-174286.66666666669</v>
      </c>
      <c r="G83" s="59">
        <f t="shared" si="37"/>
        <v>-212320.00000000003</v>
      </c>
      <c r="H83" s="59">
        <f t="shared" si="37"/>
        <v>-250353.33333333337</v>
      </c>
      <c r="I83" s="59">
        <f t="shared" si="37"/>
        <v>-286886.66666666669</v>
      </c>
      <c r="J83" s="59">
        <f t="shared" si="37"/>
        <v>-324920</v>
      </c>
      <c r="K83" s="59">
        <f t="shared" si="37"/>
        <v>-362953.33333333331</v>
      </c>
      <c r="L83" s="59">
        <f t="shared" si="37"/>
        <v>-400986.66666666663</v>
      </c>
      <c r="M83" s="59">
        <f t="shared" si="37"/>
        <v>-447219.99999999994</v>
      </c>
      <c r="N83" s="59">
        <f t="shared" si="37"/>
        <v>-485253.33333333326</v>
      </c>
      <c r="O83" s="34"/>
      <c r="P83" s="34"/>
    </row>
    <row r="84" spans="2:20" x14ac:dyDescent="0.25">
      <c r="B84" s="34" t="s">
        <v>133</v>
      </c>
      <c r="C84" s="34">
        <f t="shared" ref="C84:N84" si="38">C72-C82</f>
        <v>-109070</v>
      </c>
      <c r="D84" s="34">
        <f t="shared" si="38"/>
        <v>-33533.333333333336</v>
      </c>
      <c r="E84" s="34">
        <f t="shared" si="38"/>
        <v>-38033.333333333336</v>
      </c>
      <c r="F84" s="34">
        <f t="shared" si="38"/>
        <v>-38033.333333333336</v>
      </c>
      <c r="G84" s="34">
        <f t="shared" si="38"/>
        <v>-38033.333333333336</v>
      </c>
      <c r="H84" s="34">
        <f t="shared" si="38"/>
        <v>-36533.333333333336</v>
      </c>
      <c r="I84" s="34">
        <f t="shared" si="38"/>
        <v>-38033.333333333336</v>
      </c>
      <c r="J84" s="34">
        <f t="shared" si="38"/>
        <v>-38033.333333333336</v>
      </c>
      <c r="K84" s="34">
        <f t="shared" si="38"/>
        <v>-38033.333333333336</v>
      </c>
      <c r="L84" s="34">
        <f t="shared" si="38"/>
        <v>-46233.333333333336</v>
      </c>
      <c r="M84" s="34">
        <f t="shared" si="38"/>
        <v>-38033.333333333336</v>
      </c>
      <c r="N84" s="34">
        <f t="shared" si="38"/>
        <v>-38033.333333333336</v>
      </c>
      <c r="O84" s="34"/>
      <c r="P84" s="34"/>
    </row>
    <row r="85" spans="2:20" x14ac:dyDescent="0.25">
      <c r="B85" s="59" t="s">
        <v>134</v>
      </c>
      <c r="C85" s="59">
        <f>C83+C84</f>
        <v>-102720</v>
      </c>
      <c r="D85" s="59">
        <f t="shared" ref="D85:N85" si="39">D83+D84</f>
        <v>-136253.33333333334</v>
      </c>
      <c r="E85" s="59">
        <f t="shared" si="39"/>
        <v>-174286.66666666669</v>
      </c>
      <c r="F85" s="59">
        <f t="shared" si="39"/>
        <v>-212320.00000000003</v>
      </c>
      <c r="G85" s="59">
        <f t="shared" si="39"/>
        <v>-250353.33333333337</v>
      </c>
      <c r="H85" s="59">
        <f t="shared" si="39"/>
        <v>-286886.66666666669</v>
      </c>
      <c r="I85" s="59">
        <f t="shared" si="39"/>
        <v>-324920</v>
      </c>
      <c r="J85" s="59">
        <f t="shared" si="39"/>
        <v>-362953.33333333331</v>
      </c>
      <c r="K85" s="59">
        <f t="shared" si="39"/>
        <v>-400986.66666666663</v>
      </c>
      <c r="L85" s="59">
        <f t="shared" si="39"/>
        <v>-447219.99999999994</v>
      </c>
      <c r="M85" s="59">
        <f t="shared" si="39"/>
        <v>-485253.33333333326</v>
      </c>
      <c r="N85" s="59">
        <f t="shared" si="39"/>
        <v>-523286.66666666657</v>
      </c>
      <c r="O85" s="60" t="s">
        <v>135</v>
      </c>
      <c r="P85" s="61">
        <f>N85</f>
        <v>-523286.66666666657</v>
      </c>
    </row>
    <row r="87" spans="2:20" ht="28.5" customHeight="1" x14ac:dyDescent="0.45">
      <c r="B87" s="212" t="s">
        <v>48</v>
      </c>
      <c r="C87" s="212"/>
      <c r="D87" s="212"/>
      <c r="E87" s="212"/>
      <c r="F87" s="212"/>
      <c r="G87" s="212"/>
      <c r="H87" s="212"/>
      <c r="I87" s="212"/>
      <c r="J87" s="212"/>
      <c r="K87" s="212"/>
      <c r="L87" s="212"/>
      <c r="M87" s="212"/>
      <c r="N87" s="212"/>
      <c r="O87" s="212"/>
      <c r="P87" s="212"/>
    </row>
    <row r="89" spans="2:20" x14ac:dyDescent="0.25">
      <c r="B89" s="227" t="s">
        <v>137</v>
      </c>
      <c r="C89" s="227"/>
      <c r="D89" s="227"/>
      <c r="E89" s="227"/>
      <c r="F89" s="227"/>
      <c r="G89" s="227"/>
      <c r="H89" s="227"/>
      <c r="I89" s="227"/>
      <c r="J89" s="227"/>
      <c r="K89" s="227"/>
      <c r="L89" s="227"/>
      <c r="M89" s="227"/>
      <c r="N89" s="227"/>
      <c r="O89" s="227"/>
      <c r="P89" s="227"/>
    </row>
    <row r="90" spans="2:20" x14ac:dyDescent="0.25">
      <c r="B90" s="213"/>
      <c r="C90" s="215" t="s">
        <v>50</v>
      </c>
      <c r="D90" s="215" t="s">
        <v>51</v>
      </c>
      <c r="E90" s="215" t="s">
        <v>52</v>
      </c>
      <c r="F90" s="215" t="s">
        <v>53</v>
      </c>
      <c r="G90" s="215" t="s">
        <v>54</v>
      </c>
      <c r="H90" s="215" t="s">
        <v>55</v>
      </c>
      <c r="I90" s="215" t="s">
        <v>56</v>
      </c>
      <c r="J90" s="215" t="s">
        <v>57</v>
      </c>
      <c r="K90" s="215" t="s">
        <v>58</v>
      </c>
      <c r="L90" s="215" t="s">
        <v>59</v>
      </c>
      <c r="M90" s="215" t="s">
        <v>60</v>
      </c>
      <c r="N90" s="215" t="s">
        <v>61</v>
      </c>
      <c r="O90" s="220" t="s">
        <v>62</v>
      </c>
      <c r="P90" s="221"/>
      <c r="S90" s="228" t="s">
        <v>138</v>
      </c>
      <c r="T90" s="229"/>
    </row>
    <row r="91" spans="2:20" x14ac:dyDescent="0.25">
      <c r="B91" s="214"/>
      <c r="C91" s="216"/>
      <c r="D91" s="216"/>
      <c r="E91" s="216"/>
      <c r="F91" s="216"/>
      <c r="G91" s="216"/>
      <c r="H91" s="216"/>
      <c r="I91" s="216"/>
      <c r="J91" s="216"/>
      <c r="K91" s="216"/>
      <c r="L91" s="216"/>
      <c r="M91" s="216"/>
      <c r="N91" s="216"/>
      <c r="O91" s="58" t="s">
        <v>64</v>
      </c>
      <c r="P91" s="58" t="s">
        <v>65</v>
      </c>
      <c r="S91" s="143" t="s">
        <v>1</v>
      </c>
      <c r="T91" s="21">
        <f>P92</f>
        <v>144200.00000000003</v>
      </c>
    </row>
    <row r="92" spans="2:20" x14ac:dyDescent="0.25">
      <c r="B92" s="34" t="s">
        <v>66</v>
      </c>
      <c r="C92" s="34">
        <f>$P$5*1.03/12</f>
        <v>12016.66666666667</v>
      </c>
      <c r="D92" s="34">
        <f t="shared" ref="D92:N92" si="40">$P$5*1.03/12</f>
        <v>12016.66666666667</v>
      </c>
      <c r="E92" s="34">
        <f t="shared" si="40"/>
        <v>12016.66666666667</v>
      </c>
      <c r="F92" s="34">
        <f t="shared" si="40"/>
        <v>12016.66666666667</v>
      </c>
      <c r="G92" s="34">
        <f t="shared" si="40"/>
        <v>12016.66666666667</v>
      </c>
      <c r="H92" s="34">
        <f t="shared" si="40"/>
        <v>12016.66666666667</v>
      </c>
      <c r="I92" s="34">
        <f t="shared" si="40"/>
        <v>12016.66666666667</v>
      </c>
      <c r="J92" s="34">
        <f t="shared" si="40"/>
        <v>12016.66666666667</v>
      </c>
      <c r="K92" s="34">
        <f t="shared" si="40"/>
        <v>12016.66666666667</v>
      </c>
      <c r="L92" s="34">
        <f t="shared" si="40"/>
        <v>12016.66666666667</v>
      </c>
      <c r="M92" s="34">
        <f t="shared" si="40"/>
        <v>12016.66666666667</v>
      </c>
      <c r="N92" s="34">
        <f t="shared" si="40"/>
        <v>12016.66666666667</v>
      </c>
      <c r="O92" s="60" t="s">
        <v>1</v>
      </c>
      <c r="P92" s="61">
        <f>SUM(C92:N92)</f>
        <v>144200.00000000003</v>
      </c>
      <c r="S92" s="143" t="s">
        <v>67</v>
      </c>
      <c r="T92" s="21">
        <v>0</v>
      </c>
    </row>
    <row r="93" spans="2:20" x14ac:dyDescent="0.25">
      <c r="B93" s="34" t="s">
        <v>68</v>
      </c>
      <c r="C93" s="34">
        <f t="shared" ref="C93:N93" si="41">C92*20%</f>
        <v>2403.3333333333339</v>
      </c>
      <c r="D93" s="34">
        <f t="shared" si="41"/>
        <v>2403.3333333333339</v>
      </c>
      <c r="E93" s="34">
        <f t="shared" si="41"/>
        <v>2403.3333333333339</v>
      </c>
      <c r="F93" s="34">
        <f t="shared" si="41"/>
        <v>2403.3333333333339</v>
      </c>
      <c r="G93" s="34">
        <f t="shared" si="41"/>
        <v>2403.3333333333339</v>
      </c>
      <c r="H93" s="34">
        <f t="shared" si="41"/>
        <v>2403.3333333333339</v>
      </c>
      <c r="I93" s="34">
        <f t="shared" si="41"/>
        <v>2403.3333333333339</v>
      </c>
      <c r="J93" s="34">
        <f t="shared" si="41"/>
        <v>2403.3333333333339</v>
      </c>
      <c r="K93" s="34">
        <f t="shared" si="41"/>
        <v>2403.3333333333339</v>
      </c>
      <c r="L93" s="34">
        <f t="shared" si="41"/>
        <v>2403.3333333333339</v>
      </c>
      <c r="M93" s="34">
        <f t="shared" si="41"/>
        <v>2403.3333333333339</v>
      </c>
      <c r="N93" s="34">
        <f t="shared" si="41"/>
        <v>2403.3333333333339</v>
      </c>
      <c r="O93" s="34"/>
      <c r="P93" s="34"/>
      <c r="S93" s="144" t="s">
        <v>10</v>
      </c>
      <c r="T93" s="131">
        <f>T91+T92</f>
        <v>144200.00000000003</v>
      </c>
    </row>
    <row r="94" spans="2:20" x14ac:dyDescent="0.25">
      <c r="B94" s="34" t="s">
        <v>69</v>
      </c>
      <c r="C94" s="34">
        <f t="shared" ref="C94:N94" si="42">C92+C93</f>
        <v>14420.000000000004</v>
      </c>
      <c r="D94" s="34">
        <f t="shared" si="42"/>
        <v>14420.000000000004</v>
      </c>
      <c r="E94" s="34">
        <f t="shared" si="42"/>
        <v>14420.000000000004</v>
      </c>
      <c r="F94" s="34">
        <f t="shared" si="42"/>
        <v>14420.000000000004</v>
      </c>
      <c r="G94" s="34">
        <f t="shared" si="42"/>
        <v>14420.000000000004</v>
      </c>
      <c r="H94" s="34">
        <f t="shared" si="42"/>
        <v>14420.000000000004</v>
      </c>
      <c r="I94" s="34">
        <f t="shared" si="42"/>
        <v>14420.000000000004</v>
      </c>
      <c r="J94" s="34">
        <f t="shared" si="42"/>
        <v>14420.000000000004</v>
      </c>
      <c r="K94" s="34">
        <f t="shared" si="42"/>
        <v>14420.000000000004</v>
      </c>
      <c r="L94" s="34">
        <f t="shared" si="42"/>
        <v>14420.000000000004</v>
      </c>
      <c r="M94" s="34">
        <f t="shared" si="42"/>
        <v>14420.000000000004</v>
      </c>
      <c r="N94" s="34">
        <f t="shared" si="42"/>
        <v>14420.000000000004</v>
      </c>
      <c r="O94" s="34"/>
      <c r="P94" s="34"/>
      <c r="S94" s="143" t="s">
        <v>70</v>
      </c>
      <c r="T94" s="21">
        <f>P101</f>
        <v>46144.000000000022</v>
      </c>
    </row>
    <row r="95" spans="2:20" x14ac:dyDescent="0.25">
      <c r="B95" s="59" t="s">
        <v>139</v>
      </c>
      <c r="C95" s="59">
        <f>V35</f>
        <v>168000</v>
      </c>
      <c r="D95" s="59">
        <f t="shared" ref="D95:N95" si="43">C94</f>
        <v>14420.000000000004</v>
      </c>
      <c r="E95" s="59">
        <f t="shared" si="43"/>
        <v>14420.000000000004</v>
      </c>
      <c r="F95" s="59">
        <f t="shared" si="43"/>
        <v>14420.000000000004</v>
      </c>
      <c r="G95" s="59">
        <f t="shared" si="43"/>
        <v>14420.000000000004</v>
      </c>
      <c r="H95" s="59">
        <f t="shared" si="43"/>
        <v>14420.000000000004</v>
      </c>
      <c r="I95" s="59">
        <f t="shared" si="43"/>
        <v>14420.000000000004</v>
      </c>
      <c r="J95" s="59">
        <f t="shared" si="43"/>
        <v>14420.000000000004</v>
      </c>
      <c r="K95" s="59">
        <f t="shared" si="43"/>
        <v>14420.000000000004</v>
      </c>
      <c r="L95" s="59">
        <f t="shared" si="43"/>
        <v>14420.000000000004</v>
      </c>
      <c r="M95" s="59">
        <f t="shared" si="43"/>
        <v>14420.000000000004</v>
      </c>
      <c r="N95" s="59">
        <f t="shared" si="43"/>
        <v>14420.000000000004</v>
      </c>
      <c r="O95" s="60" t="s">
        <v>72</v>
      </c>
      <c r="P95" s="61">
        <f>N94</f>
        <v>14420.000000000004</v>
      </c>
      <c r="S95" s="143" t="s">
        <v>73</v>
      </c>
      <c r="T95" s="21">
        <f>P110</f>
        <v>85200</v>
      </c>
    </row>
    <row r="96" spans="2:20" x14ac:dyDescent="0.25">
      <c r="S96" s="143" t="s">
        <v>18</v>
      </c>
      <c r="T96" s="21">
        <f>P127</f>
        <v>8200</v>
      </c>
    </row>
    <row r="97" spans="2:24" x14ac:dyDescent="0.25">
      <c r="S97" s="143" t="s">
        <v>20</v>
      </c>
      <c r="T97" s="21">
        <f>P119</f>
        <v>307500</v>
      </c>
    </row>
    <row r="98" spans="2:24" x14ac:dyDescent="0.25">
      <c r="B98" s="219" t="s">
        <v>140</v>
      </c>
      <c r="C98" s="219"/>
      <c r="D98" s="219"/>
      <c r="E98" s="219"/>
      <c r="F98" s="219"/>
      <c r="G98" s="219"/>
      <c r="H98" s="219"/>
      <c r="I98" s="219"/>
      <c r="J98" s="219"/>
      <c r="K98" s="219"/>
      <c r="L98" s="219"/>
      <c r="M98" s="219"/>
      <c r="N98" s="219"/>
      <c r="O98" s="219"/>
      <c r="P98" s="219"/>
      <c r="S98" s="143" t="s">
        <v>21</v>
      </c>
      <c r="T98" s="21">
        <f>P120</f>
        <v>123000</v>
      </c>
    </row>
    <row r="99" spans="2:24" x14ac:dyDescent="0.25">
      <c r="B99" s="213"/>
      <c r="C99" s="215" t="s">
        <v>50</v>
      </c>
      <c r="D99" s="215" t="s">
        <v>51</v>
      </c>
      <c r="E99" s="215" t="s">
        <v>52</v>
      </c>
      <c r="F99" s="215" t="s">
        <v>53</v>
      </c>
      <c r="G99" s="215" t="s">
        <v>54</v>
      </c>
      <c r="H99" s="215" t="s">
        <v>55</v>
      </c>
      <c r="I99" s="215" t="s">
        <v>56</v>
      </c>
      <c r="J99" s="215" t="s">
        <v>57</v>
      </c>
      <c r="K99" s="215" t="s">
        <v>58</v>
      </c>
      <c r="L99" s="215" t="s">
        <v>59</v>
      </c>
      <c r="M99" s="215" t="s">
        <v>60</v>
      </c>
      <c r="N99" s="215" t="s">
        <v>61</v>
      </c>
      <c r="O99" s="220" t="s">
        <v>62</v>
      </c>
      <c r="P99" s="221"/>
      <c r="S99" s="143" t="s">
        <v>75</v>
      </c>
      <c r="T99" s="21">
        <f>P117</f>
        <v>11705.95238095238</v>
      </c>
      <c r="W99" s="20" t="s">
        <v>141</v>
      </c>
    </row>
    <row r="100" spans="2:24" x14ac:dyDescent="0.25">
      <c r="B100" s="214"/>
      <c r="C100" s="216"/>
      <c r="D100" s="216"/>
      <c r="E100" s="216"/>
      <c r="F100" s="216"/>
      <c r="G100" s="216"/>
      <c r="H100" s="216"/>
      <c r="I100" s="216"/>
      <c r="J100" s="216"/>
      <c r="K100" s="216"/>
      <c r="L100" s="216"/>
      <c r="M100" s="216"/>
      <c r="N100" s="216"/>
      <c r="O100" s="58" t="s">
        <v>64</v>
      </c>
      <c r="P100" s="58" t="s">
        <v>65</v>
      </c>
      <c r="S100" s="144" t="s">
        <v>76</v>
      </c>
      <c r="T100" s="131">
        <f>SUM(T94:T99)</f>
        <v>581749.95238095243</v>
      </c>
      <c r="W100" s="20">
        <v>55</v>
      </c>
    </row>
    <row r="101" spans="2:24" x14ac:dyDescent="0.25">
      <c r="B101" s="34" t="s">
        <v>77</v>
      </c>
      <c r="C101" s="34">
        <f t="shared" ref="C101:N101" si="44">C92*32%</f>
        <v>3845.3333333333344</v>
      </c>
      <c r="D101" s="34">
        <f t="shared" si="44"/>
        <v>3845.3333333333344</v>
      </c>
      <c r="E101" s="34">
        <f t="shared" si="44"/>
        <v>3845.3333333333344</v>
      </c>
      <c r="F101" s="34">
        <f t="shared" si="44"/>
        <v>3845.3333333333344</v>
      </c>
      <c r="G101" s="34">
        <f t="shared" si="44"/>
        <v>3845.3333333333344</v>
      </c>
      <c r="H101" s="34">
        <f t="shared" si="44"/>
        <v>3845.3333333333344</v>
      </c>
      <c r="I101" s="34">
        <f t="shared" si="44"/>
        <v>3845.3333333333344</v>
      </c>
      <c r="J101" s="34">
        <f t="shared" si="44"/>
        <v>3845.3333333333344</v>
      </c>
      <c r="K101" s="34">
        <f t="shared" si="44"/>
        <v>3845.3333333333344</v>
      </c>
      <c r="L101" s="34">
        <f t="shared" si="44"/>
        <v>3845.3333333333344</v>
      </c>
      <c r="M101" s="34">
        <f t="shared" si="44"/>
        <v>3845.3333333333344</v>
      </c>
      <c r="N101" s="34">
        <f t="shared" si="44"/>
        <v>3845.3333333333344</v>
      </c>
      <c r="O101" s="60" t="s">
        <v>78</v>
      </c>
      <c r="P101" s="61">
        <f>SUM(C101:N101)</f>
        <v>46144.000000000022</v>
      </c>
      <c r="S101" s="154" t="s">
        <v>30</v>
      </c>
      <c r="T101" s="155">
        <f>T93-T100</f>
        <v>-437549.95238095243</v>
      </c>
      <c r="X101" s="20">
        <v>159</v>
      </c>
    </row>
    <row r="102" spans="2:24" x14ac:dyDescent="0.25">
      <c r="B102" s="34" t="s">
        <v>79</v>
      </c>
      <c r="C102" s="34">
        <f t="shared" ref="C102:N102" si="45">C101*20%</f>
        <v>769.06666666666695</v>
      </c>
      <c r="D102" s="34">
        <f t="shared" si="45"/>
        <v>769.06666666666695</v>
      </c>
      <c r="E102" s="34">
        <f t="shared" si="45"/>
        <v>769.06666666666695</v>
      </c>
      <c r="F102" s="34">
        <f t="shared" si="45"/>
        <v>769.06666666666695</v>
      </c>
      <c r="G102" s="34">
        <f t="shared" si="45"/>
        <v>769.06666666666695</v>
      </c>
      <c r="H102" s="34">
        <f t="shared" si="45"/>
        <v>769.06666666666695</v>
      </c>
      <c r="I102" s="34">
        <f t="shared" si="45"/>
        <v>769.06666666666695</v>
      </c>
      <c r="J102" s="34">
        <f t="shared" si="45"/>
        <v>769.06666666666695</v>
      </c>
      <c r="K102" s="34">
        <f t="shared" si="45"/>
        <v>769.06666666666695</v>
      </c>
      <c r="L102" s="34">
        <f t="shared" si="45"/>
        <v>769.06666666666695</v>
      </c>
      <c r="M102" s="34">
        <f t="shared" si="45"/>
        <v>769.06666666666695</v>
      </c>
      <c r="N102" s="34">
        <f t="shared" si="45"/>
        <v>769.06666666666695</v>
      </c>
      <c r="O102" s="34"/>
      <c r="P102" s="34"/>
      <c r="S102" s="144" t="s">
        <v>33</v>
      </c>
      <c r="T102" s="131">
        <v>0</v>
      </c>
      <c r="W102" s="20">
        <f>W100/X102*7500</f>
        <v>1927.5700934579438</v>
      </c>
      <c r="X102" s="20">
        <v>214</v>
      </c>
    </row>
    <row r="103" spans="2:24" x14ac:dyDescent="0.25">
      <c r="B103" s="34" t="s">
        <v>80</v>
      </c>
      <c r="C103" s="34">
        <f t="shared" ref="C103:N103" si="46">C101+C102</f>
        <v>4614.4000000000015</v>
      </c>
      <c r="D103" s="34">
        <f t="shared" si="46"/>
        <v>4614.4000000000015</v>
      </c>
      <c r="E103" s="34">
        <f t="shared" si="46"/>
        <v>4614.4000000000015</v>
      </c>
      <c r="F103" s="34">
        <f t="shared" si="46"/>
        <v>4614.4000000000015</v>
      </c>
      <c r="G103" s="34">
        <f t="shared" si="46"/>
        <v>4614.4000000000015</v>
      </c>
      <c r="H103" s="34">
        <f t="shared" si="46"/>
        <v>4614.4000000000015</v>
      </c>
      <c r="I103" s="34">
        <f t="shared" si="46"/>
        <v>4614.4000000000015</v>
      </c>
      <c r="J103" s="34">
        <f t="shared" si="46"/>
        <v>4614.4000000000015</v>
      </c>
      <c r="K103" s="34">
        <f t="shared" si="46"/>
        <v>4614.4000000000015</v>
      </c>
      <c r="L103" s="34">
        <f t="shared" si="46"/>
        <v>4614.4000000000015</v>
      </c>
      <c r="M103" s="34">
        <f t="shared" si="46"/>
        <v>4614.4000000000015</v>
      </c>
      <c r="N103" s="34">
        <f t="shared" si="46"/>
        <v>4614.4000000000015</v>
      </c>
      <c r="O103" s="34"/>
      <c r="P103" s="34"/>
      <c r="S103" s="143" t="s">
        <v>36</v>
      </c>
      <c r="T103" s="21">
        <f>P129</f>
        <v>3150.0000000000005</v>
      </c>
      <c r="X103" s="20">
        <f>X101/X102*7500</f>
        <v>5572.4299065420564</v>
      </c>
    </row>
    <row r="104" spans="2:24" x14ac:dyDescent="0.25">
      <c r="B104" s="59" t="s">
        <v>81</v>
      </c>
      <c r="C104" s="59">
        <f t="shared" ref="C104:N104" si="47">C103</f>
        <v>4614.4000000000015</v>
      </c>
      <c r="D104" s="59">
        <f t="shared" si="47"/>
        <v>4614.4000000000015</v>
      </c>
      <c r="E104" s="59">
        <f t="shared" si="47"/>
        <v>4614.4000000000015</v>
      </c>
      <c r="F104" s="59">
        <f t="shared" si="47"/>
        <v>4614.4000000000015</v>
      </c>
      <c r="G104" s="59">
        <f t="shared" si="47"/>
        <v>4614.4000000000015</v>
      </c>
      <c r="H104" s="59">
        <f t="shared" si="47"/>
        <v>4614.4000000000015</v>
      </c>
      <c r="I104" s="59">
        <f t="shared" si="47"/>
        <v>4614.4000000000015</v>
      </c>
      <c r="J104" s="59">
        <f t="shared" si="47"/>
        <v>4614.4000000000015</v>
      </c>
      <c r="K104" s="59">
        <f t="shared" si="47"/>
        <v>4614.4000000000015</v>
      </c>
      <c r="L104" s="59">
        <f t="shared" si="47"/>
        <v>4614.4000000000015</v>
      </c>
      <c r="M104" s="59">
        <f t="shared" si="47"/>
        <v>4614.4000000000015</v>
      </c>
      <c r="N104" s="59">
        <f t="shared" si="47"/>
        <v>4614.4000000000015</v>
      </c>
      <c r="O104" s="60" t="s">
        <v>82</v>
      </c>
      <c r="P104" s="61">
        <v>0</v>
      </c>
      <c r="S104" s="144" t="s">
        <v>37</v>
      </c>
      <c r="T104" s="131">
        <f>T103</f>
        <v>3150.0000000000005</v>
      </c>
    </row>
    <row r="105" spans="2:24" x14ac:dyDescent="0.25">
      <c r="S105" s="154" t="s">
        <v>40</v>
      </c>
      <c r="T105" s="155">
        <f>T102-T104</f>
        <v>-3150.0000000000005</v>
      </c>
    </row>
    <row r="106" spans="2:24" x14ac:dyDescent="0.25">
      <c r="S106" s="154" t="s">
        <v>43</v>
      </c>
      <c r="T106" s="155">
        <f>T101-(-T105)</f>
        <v>-440699.95238095243</v>
      </c>
    </row>
    <row r="107" spans="2:24" x14ac:dyDescent="0.25">
      <c r="B107" s="219" t="s">
        <v>142</v>
      </c>
      <c r="C107" s="219"/>
      <c r="D107" s="219"/>
      <c r="E107" s="219"/>
      <c r="F107" s="219"/>
      <c r="G107" s="219"/>
      <c r="H107" s="219"/>
      <c r="I107" s="219"/>
      <c r="J107" s="219"/>
      <c r="K107" s="219"/>
      <c r="L107" s="219"/>
      <c r="M107" s="219"/>
      <c r="N107" s="219"/>
      <c r="O107" s="219"/>
      <c r="P107" s="219"/>
      <c r="S107" s="154" t="s">
        <v>45</v>
      </c>
      <c r="T107" s="21"/>
    </row>
    <row r="108" spans="2:24" x14ac:dyDescent="0.25">
      <c r="B108" s="213"/>
      <c r="C108" s="215" t="s">
        <v>50</v>
      </c>
      <c r="D108" s="215" t="s">
        <v>51</v>
      </c>
      <c r="E108" s="215" t="s">
        <v>52</v>
      </c>
      <c r="F108" s="215" t="s">
        <v>53</v>
      </c>
      <c r="G108" s="215" t="s">
        <v>54</v>
      </c>
      <c r="H108" s="215" t="s">
        <v>55</v>
      </c>
      <c r="I108" s="215" t="s">
        <v>56</v>
      </c>
      <c r="J108" s="215" t="s">
        <v>57</v>
      </c>
      <c r="K108" s="215" t="s">
        <v>58</v>
      </c>
      <c r="L108" s="215" t="s">
        <v>59</v>
      </c>
      <c r="M108" s="215" t="s">
        <v>60</v>
      </c>
      <c r="N108" s="215" t="s">
        <v>61</v>
      </c>
      <c r="O108" s="220" t="s">
        <v>62</v>
      </c>
      <c r="P108" s="221"/>
      <c r="S108" s="160" t="s">
        <v>47</v>
      </c>
      <c r="T108" s="161">
        <f>T106</f>
        <v>-440699.95238095243</v>
      </c>
    </row>
    <row r="109" spans="2:24" x14ac:dyDescent="0.25">
      <c r="B109" s="214"/>
      <c r="C109" s="216"/>
      <c r="D109" s="216"/>
      <c r="E109" s="216"/>
      <c r="F109" s="216"/>
      <c r="G109" s="216"/>
      <c r="H109" s="216"/>
      <c r="I109" s="216"/>
      <c r="J109" s="216"/>
      <c r="K109" s="216"/>
      <c r="L109" s="216"/>
      <c r="M109" s="216"/>
      <c r="N109" s="216"/>
      <c r="O109" s="58" t="s">
        <v>64</v>
      </c>
      <c r="P109" s="58" t="s">
        <v>65</v>
      </c>
    </row>
    <row r="110" spans="2:24" x14ac:dyDescent="0.25">
      <c r="B110" s="21" t="s">
        <v>84</v>
      </c>
      <c r="C110" s="21">
        <v>7100</v>
      </c>
      <c r="D110" s="21">
        <v>7100</v>
      </c>
      <c r="E110" s="21">
        <v>7100</v>
      </c>
      <c r="F110" s="21">
        <v>7100</v>
      </c>
      <c r="G110" s="21">
        <v>7100</v>
      </c>
      <c r="H110" s="21">
        <v>7100</v>
      </c>
      <c r="I110" s="21">
        <v>7100</v>
      </c>
      <c r="J110" s="21">
        <v>7100</v>
      </c>
      <c r="K110" s="21">
        <v>7100</v>
      </c>
      <c r="L110" s="21">
        <v>7100</v>
      </c>
      <c r="M110" s="21">
        <v>7100</v>
      </c>
      <c r="N110" s="22">
        <v>7100</v>
      </c>
      <c r="O110" s="60" t="s">
        <v>85</v>
      </c>
      <c r="P110" s="61">
        <f>SUM(C110:N110)</f>
        <v>85200</v>
      </c>
    </row>
    <row r="111" spans="2:24" x14ac:dyDescent="0.25">
      <c r="B111" s="21" t="s">
        <v>86</v>
      </c>
      <c r="C111" s="21">
        <f t="shared" ref="C111:N111" si="48">C110*20%</f>
        <v>1420</v>
      </c>
      <c r="D111" s="21">
        <f t="shared" si="48"/>
        <v>1420</v>
      </c>
      <c r="E111" s="21">
        <f t="shared" si="48"/>
        <v>1420</v>
      </c>
      <c r="F111" s="21">
        <f t="shared" si="48"/>
        <v>1420</v>
      </c>
      <c r="G111" s="21">
        <f t="shared" si="48"/>
        <v>1420</v>
      </c>
      <c r="H111" s="21">
        <f t="shared" si="48"/>
        <v>1420</v>
      </c>
      <c r="I111" s="21">
        <f t="shared" si="48"/>
        <v>1420</v>
      </c>
      <c r="J111" s="21">
        <f t="shared" si="48"/>
        <v>1420</v>
      </c>
      <c r="K111" s="21">
        <f t="shared" si="48"/>
        <v>1420</v>
      </c>
      <c r="L111" s="21">
        <f t="shared" si="48"/>
        <v>1420</v>
      </c>
      <c r="M111" s="21">
        <f t="shared" si="48"/>
        <v>1420</v>
      </c>
      <c r="N111" s="22">
        <f t="shared" si="48"/>
        <v>1420</v>
      </c>
      <c r="O111" s="47"/>
      <c r="P111" s="48"/>
    </row>
    <row r="112" spans="2:24" x14ac:dyDescent="0.25">
      <c r="B112" s="23" t="s">
        <v>87</v>
      </c>
      <c r="C112" s="23">
        <f t="shared" ref="C112:N112" si="49">C110+C111</f>
        <v>8520</v>
      </c>
      <c r="D112" s="23">
        <f t="shared" si="49"/>
        <v>8520</v>
      </c>
      <c r="E112" s="23">
        <f t="shared" si="49"/>
        <v>8520</v>
      </c>
      <c r="F112" s="23">
        <f t="shared" si="49"/>
        <v>8520</v>
      </c>
      <c r="G112" s="23">
        <f t="shared" si="49"/>
        <v>8520</v>
      </c>
      <c r="H112" s="23">
        <f t="shared" si="49"/>
        <v>8520</v>
      </c>
      <c r="I112" s="23">
        <f t="shared" si="49"/>
        <v>8520</v>
      </c>
      <c r="J112" s="23">
        <f t="shared" si="49"/>
        <v>8520</v>
      </c>
      <c r="K112" s="23">
        <f t="shared" si="49"/>
        <v>8520</v>
      </c>
      <c r="L112" s="23">
        <f t="shared" si="49"/>
        <v>8520</v>
      </c>
      <c r="M112" s="23">
        <f t="shared" si="49"/>
        <v>8520</v>
      </c>
      <c r="N112" s="25">
        <f t="shared" si="49"/>
        <v>8520</v>
      </c>
      <c r="O112" s="34"/>
      <c r="P112" s="34"/>
      <c r="S112" s="228" t="s">
        <v>143</v>
      </c>
      <c r="T112" s="229"/>
      <c r="U112" s="228"/>
      <c r="V112" s="229"/>
      <c r="W112" s="228"/>
      <c r="X112" s="229"/>
    </row>
    <row r="113" spans="2:24" ht="30" x14ac:dyDescent="0.25">
      <c r="B113" s="59" t="s">
        <v>81</v>
      </c>
      <c r="C113" s="59">
        <f t="shared" ref="C113:N113" si="50">+C110+C111</f>
        <v>8520</v>
      </c>
      <c r="D113" s="59">
        <f t="shared" si="50"/>
        <v>8520</v>
      </c>
      <c r="E113" s="59">
        <f t="shared" si="50"/>
        <v>8520</v>
      </c>
      <c r="F113" s="59">
        <f t="shared" si="50"/>
        <v>8520</v>
      </c>
      <c r="G113" s="59">
        <f t="shared" si="50"/>
        <v>8520</v>
      </c>
      <c r="H113" s="59">
        <f t="shared" si="50"/>
        <v>8520</v>
      </c>
      <c r="I113" s="59">
        <f t="shared" si="50"/>
        <v>8520</v>
      </c>
      <c r="J113" s="59">
        <f t="shared" si="50"/>
        <v>8520</v>
      </c>
      <c r="K113" s="59">
        <f t="shared" si="50"/>
        <v>8520</v>
      </c>
      <c r="L113" s="59">
        <f t="shared" si="50"/>
        <v>8520</v>
      </c>
      <c r="M113" s="59">
        <f t="shared" si="50"/>
        <v>8520</v>
      </c>
      <c r="N113" s="59">
        <f t="shared" si="50"/>
        <v>8520</v>
      </c>
      <c r="O113" s="47"/>
      <c r="P113" s="34"/>
      <c r="S113" s="144" t="s">
        <v>2</v>
      </c>
      <c r="T113" s="145" t="s">
        <v>3</v>
      </c>
      <c r="U113" s="145" t="s">
        <v>4</v>
      </c>
      <c r="V113" s="145" t="s">
        <v>5</v>
      </c>
      <c r="W113" s="146" t="s">
        <v>6</v>
      </c>
      <c r="X113" s="147" t="s">
        <v>5</v>
      </c>
    </row>
    <row r="114" spans="2:24" x14ac:dyDescent="0.25">
      <c r="B114" s="28" t="s">
        <v>89</v>
      </c>
      <c r="C114" s="21"/>
      <c r="D114" s="21"/>
      <c r="E114" s="21"/>
      <c r="F114" s="21"/>
      <c r="G114" s="21"/>
      <c r="H114" s="21"/>
      <c r="I114" s="21"/>
      <c r="J114" s="21"/>
      <c r="K114" s="21"/>
      <c r="L114" s="21"/>
      <c r="M114" s="21"/>
      <c r="N114" s="22">
        <v>7500</v>
      </c>
      <c r="O114" s="47"/>
      <c r="P114" s="48"/>
      <c r="S114" s="148" t="s">
        <v>8</v>
      </c>
      <c r="T114" s="148">
        <f>SUM(T115:T118)</f>
        <v>253500</v>
      </c>
      <c r="U114" s="148">
        <f>SUM(U115:U116)</f>
        <v>46520.238095238099</v>
      </c>
      <c r="V114" s="148">
        <f>SUM(V115:V116)</f>
        <v>206979.76190476189</v>
      </c>
      <c r="W114" s="148" t="s">
        <v>9</v>
      </c>
      <c r="X114" s="149">
        <f>SUM(X115:X118)</f>
        <v>-803786.23809523811</v>
      </c>
    </row>
    <row r="115" spans="2:24" x14ac:dyDescent="0.25">
      <c r="B115" s="26" t="s">
        <v>144</v>
      </c>
      <c r="C115" s="27"/>
      <c r="D115" s="21"/>
      <c r="E115" s="21"/>
      <c r="F115" s="21"/>
      <c r="G115" s="21"/>
      <c r="H115" s="21"/>
      <c r="I115" s="21"/>
      <c r="J115" s="21"/>
      <c r="K115" s="21"/>
      <c r="L115" s="21"/>
      <c r="M115" s="21"/>
      <c r="N115" s="22">
        <f>P115</f>
        <v>3214.2857142857142</v>
      </c>
      <c r="O115" s="60" t="s">
        <v>90</v>
      </c>
      <c r="P115" s="61">
        <f>Emprunt!K7</f>
        <v>3214.2857142857142</v>
      </c>
      <c r="S115" s="150" t="s">
        <v>11</v>
      </c>
      <c r="T115" s="150">
        <f>T28+P137</f>
        <v>176000</v>
      </c>
      <c r="U115" s="150">
        <f>U28+AB31+P116</f>
        <v>9491.6666666666661</v>
      </c>
      <c r="V115" s="150">
        <f>T115-U115</f>
        <v>166508.33333333334</v>
      </c>
      <c r="W115" s="150" t="s">
        <v>12</v>
      </c>
      <c r="X115" s="151">
        <v>50000</v>
      </c>
    </row>
    <row r="116" spans="2:24" x14ac:dyDescent="0.25">
      <c r="B116" s="29" t="s">
        <v>145</v>
      </c>
      <c r="C116" s="21"/>
      <c r="D116" s="21"/>
      <c r="E116" s="21"/>
      <c r="F116" s="21"/>
      <c r="G116" s="21"/>
      <c r="H116" s="21"/>
      <c r="I116" s="21"/>
      <c r="J116" s="21"/>
      <c r="K116" s="21"/>
      <c r="L116" s="21"/>
      <c r="M116" s="21"/>
      <c r="N116" s="22">
        <f>P116</f>
        <v>991.66666666666674</v>
      </c>
      <c r="O116" s="60" t="s">
        <v>90</v>
      </c>
      <c r="P116" s="61">
        <f>Emprunt!K14</f>
        <v>991.66666666666674</v>
      </c>
      <c r="S116" s="150" t="s">
        <v>14</v>
      </c>
      <c r="T116" s="150">
        <f>T29</f>
        <v>77500</v>
      </c>
      <c r="U116" s="150">
        <f>U29+AA30+P115</f>
        <v>37028.571428571435</v>
      </c>
      <c r="V116" s="150">
        <f>T116-U116</f>
        <v>40471.428571428565</v>
      </c>
      <c r="W116" s="150" t="s">
        <v>15</v>
      </c>
      <c r="X116" s="151">
        <v>5000</v>
      </c>
    </row>
    <row r="117" spans="2:24" ht="30" x14ac:dyDescent="0.25">
      <c r="B117" s="59" t="s">
        <v>94</v>
      </c>
      <c r="C117" s="59">
        <f t="shared" ref="C117:M117" si="51">C114+C115</f>
        <v>0</v>
      </c>
      <c r="D117" s="59">
        <f t="shared" si="51"/>
        <v>0</v>
      </c>
      <c r="E117" s="59">
        <f t="shared" si="51"/>
        <v>0</v>
      </c>
      <c r="F117" s="59">
        <f t="shared" si="51"/>
        <v>0</v>
      </c>
      <c r="G117" s="59">
        <f t="shared" si="51"/>
        <v>0</v>
      </c>
      <c r="H117" s="59">
        <f t="shared" si="51"/>
        <v>0</v>
      </c>
      <c r="I117" s="59">
        <f t="shared" si="51"/>
        <v>0</v>
      </c>
      <c r="J117" s="59">
        <f t="shared" si="51"/>
        <v>0</v>
      </c>
      <c r="K117" s="59">
        <f t="shared" si="51"/>
        <v>0</v>
      </c>
      <c r="L117" s="59">
        <f t="shared" si="51"/>
        <v>0</v>
      </c>
      <c r="M117" s="59">
        <f t="shared" si="51"/>
        <v>0</v>
      </c>
      <c r="N117" s="59">
        <f>N114+N115+N116</f>
        <v>11705.95238095238</v>
      </c>
      <c r="O117" s="60" t="s">
        <v>93</v>
      </c>
      <c r="P117" s="61">
        <f>SUM(C117:N117)</f>
        <v>11705.95238095238</v>
      </c>
      <c r="S117" s="148"/>
      <c r="T117" s="148"/>
      <c r="U117" s="148"/>
      <c r="V117" s="148"/>
      <c r="W117" s="150" t="s">
        <v>17</v>
      </c>
      <c r="X117" s="151">
        <f>X30+X31</f>
        <v>-418086.28571428568</v>
      </c>
    </row>
    <row r="118" spans="2:24" x14ac:dyDescent="0.25">
      <c r="B118" s="21" t="s">
        <v>95</v>
      </c>
      <c r="C118" s="21">
        <f t="shared" ref="C118:N118" si="52">307500/12</f>
        <v>25625</v>
      </c>
      <c r="D118" s="21">
        <f t="shared" si="52"/>
        <v>25625</v>
      </c>
      <c r="E118" s="21">
        <f t="shared" si="52"/>
        <v>25625</v>
      </c>
      <c r="F118" s="21">
        <f t="shared" si="52"/>
        <v>25625</v>
      </c>
      <c r="G118" s="21">
        <f t="shared" si="52"/>
        <v>25625</v>
      </c>
      <c r="H118" s="21">
        <f t="shared" si="52"/>
        <v>25625</v>
      </c>
      <c r="I118" s="21">
        <f t="shared" si="52"/>
        <v>25625</v>
      </c>
      <c r="J118" s="21">
        <f t="shared" si="52"/>
        <v>25625</v>
      </c>
      <c r="K118" s="21">
        <f t="shared" si="52"/>
        <v>25625</v>
      </c>
      <c r="L118" s="21">
        <f t="shared" si="52"/>
        <v>25625</v>
      </c>
      <c r="M118" s="21">
        <f t="shared" si="52"/>
        <v>25625</v>
      </c>
      <c r="N118" s="22">
        <f t="shared" si="52"/>
        <v>25625</v>
      </c>
      <c r="O118" s="47"/>
      <c r="P118" s="48"/>
      <c r="S118" s="150"/>
      <c r="T118" s="150"/>
      <c r="U118" s="150"/>
      <c r="V118" s="150"/>
      <c r="W118" s="150" t="s">
        <v>19</v>
      </c>
      <c r="X118" s="151">
        <f>T108</f>
        <v>-440699.95238095243</v>
      </c>
    </row>
    <row r="119" spans="2:24" x14ac:dyDescent="0.25">
      <c r="B119" s="59" t="s">
        <v>96</v>
      </c>
      <c r="C119" s="59">
        <f t="shared" ref="C119:N119" si="53">C118</f>
        <v>25625</v>
      </c>
      <c r="D119" s="59">
        <f t="shared" si="53"/>
        <v>25625</v>
      </c>
      <c r="E119" s="59">
        <f t="shared" si="53"/>
        <v>25625</v>
      </c>
      <c r="F119" s="59">
        <f t="shared" si="53"/>
        <v>25625</v>
      </c>
      <c r="G119" s="59">
        <f t="shared" si="53"/>
        <v>25625</v>
      </c>
      <c r="H119" s="59">
        <f t="shared" si="53"/>
        <v>25625</v>
      </c>
      <c r="I119" s="59">
        <f t="shared" si="53"/>
        <v>25625</v>
      </c>
      <c r="J119" s="59">
        <f t="shared" si="53"/>
        <v>25625</v>
      </c>
      <c r="K119" s="59">
        <f t="shared" si="53"/>
        <v>25625</v>
      </c>
      <c r="L119" s="59">
        <f t="shared" si="53"/>
        <v>25625</v>
      </c>
      <c r="M119" s="59">
        <f t="shared" si="53"/>
        <v>25625</v>
      </c>
      <c r="N119" s="59">
        <f t="shared" si="53"/>
        <v>25625</v>
      </c>
      <c r="O119" s="60" t="s">
        <v>97</v>
      </c>
      <c r="P119" s="61">
        <f>SUM(C119:N119)</f>
        <v>307500</v>
      </c>
      <c r="S119" s="152"/>
      <c r="T119" s="153"/>
      <c r="V119" s="153"/>
      <c r="W119" s="151"/>
      <c r="X119" s="149"/>
    </row>
    <row r="120" spans="2:24" x14ac:dyDescent="0.25">
      <c r="B120" s="21" t="s">
        <v>21</v>
      </c>
      <c r="C120" s="21">
        <f t="shared" ref="C120:N120" si="54">C118*0.4</f>
        <v>10250</v>
      </c>
      <c r="D120" s="21">
        <f t="shared" si="54"/>
        <v>10250</v>
      </c>
      <c r="E120" s="21">
        <f t="shared" si="54"/>
        <v>10250</v>
      </c>
      <c r="F120" s="21">
        <f t="shared" si="54"/>
        <v>10250</v>
      </c>
      <c r="G120" s="21">
        <f t="shared" si="54"/>
        <v>10250</v>
      </c>
      <c r="H120" s="21">
        <f t="shared" si="54"/>
        <v>10250</v>
      </c>
      <c r="I120" s="21">
        <f t="shared" si="54"/>
        <v>10250</v>
      </c>
      <c r="J120" s="21">
        <f t="shared" si="54"/>
        <v>10250</v>
      </c>
      <c r="K120" s="21">
        <f t="shared" si="54"/>
        <v>10250</v>
      </c>
      <c r="L120" s="21">
        <f t="shared" si="54"/>
        <v>10250</v>
      </c>
      <c r="M120" s="21">
        <f t="shared" si="54"/>
        <v>10250</v>
      </c>
      <c r="N120" s="22">
        <f t="shared" si="54"/>
        <v>10250</v>
      </c>
      <c r="O120" s="60" t="s">
        <v>98</v>
      </c>
      <c r="P120" s="61">
        <f>SUM(C120:N120)</f>
        <v>123000</v>
      </c>
      <c r="S120" s="148" t="s">
        <v>22</v>
      </c>
      <c r="T120" s="148">
        <f>SUM(T121:T123)</f>
        <v>-816279.73333333305</v>
      </c>
      <c r="U120" s="148">
        <f>SUM(U121:U123)</f>
        <v>0</v>
      </c>
      <c r="V120" s="148">
        <f>SUM(V121:V123)</f>
        <v>-816279.73333333305</v>
      </c>
      <c r="W120" s="148" t="s">
        <v>23</v>
      </c>
      <c r="X120" s="149">
        <f>SUM(X121:X124)</f>
        <v>70464.266666666663</v>
      </c>
    </row>
    <row r="121" spans="2:24" ht="30" x14ac:dyDescent="0.25">
      <c r="B121" s="59" t="s">
        <v>99</v>
      </c>
      <c r="C121" s="59">
        <f>P33</f>
        <v>10250</v>
      </c>
      <c r="D121" s="59">
        <f t="shared" ref="D121:N121" si="55">C120</f>
        <v>10250</v>
      </c>
      <c r="E121" s="59">
        <f t="shared" si="55"/>
        <v>10250</v>
      </c>
      <c r="F121" s="59">
        <f t="shared" si="55"/>
        <v>10250</v>
      </c>
      <c r="G121" s="59">
        <f t="shared" si="55"/>
        <v>10250</v>
      </c>
      <c r="H121" s="59">
        <f t="shared" si="55"/>
        <v>10250</v>
      </c>
      <c r="I121" s="59">
        <f t="shared" si="55"/>
        <v>10250</v>
      </c>
      <c r="J121" s="59">
        <f t="shared" si="55"/>
        <v>10250</v>
      </c>
      <c r="K121" s="59">
        <f t="shared" si="55"/>
        <v>10250</v>
      </c>
      <c r="L121" s="59">
        <f t="shared" si="55"/>
        <v>10250</v>
      </c>
      <c r="M121" s="59">
        <f t="shared" si="55"/>
        <v>10250</v>
      </c>
      <c r="N121" s="59">
        <f t="shared" si="55"/>
        <v>10250</v>
      </c>
      <c r="O121" s="60" t="s">
        <v>100</v>
      </c>
      <c r="P121" s="61">
        <f>N120</f>
        <v>10250</v>
      </c>
      <c r="S121" s="150" t="s">
        <v>25</v>
      </c>
      <c r="T121" s="150">
        <v>15000</v>
      </c>
      <c r="U121" s="150"/>
      <c r="V121" s="150">
        <f>T121-U121</f>
        <v>15000</v>
      </c>
      <c r="W121" s="150" t="s">
        <v>26</v>
      </c>
      <c r="X121" s="151">
        <f>Emprunt!G10</f>
        <v>60000</v>
      </c>
    </row>
    <row r="122" spans="2:24" ht="30" x14ac:dyDescent="0.25">
      <c r="S122" s="150" t="s">
        <v>28</v>
      </c>
      <c r="T122" s="150">
        <f>P95</f>
        <v>14420.000000000004</v>
      </c>
      <c r="U122" s="150"/>
      <c r="V122" s="150">
        <f>T122-U122</f>
        <v>14420.000000000004</v>
      </c>
      <c r="W122" s="150" t="s">
        <v>29</v>
      </c>
      <c r="X122" s="151">
        <f>0</f>
        <v>0</v>
      </c>
    </row>
    <row r="123" spans="2:24" x14ac:dyDescent="0.25">
      <c r="S123" s="150" t="s">
        <v>34</v>
      </c>
      <c r="T123" s="150">
        <f>P173</f>
        <v>-845699.73333333305</v>
      </c>
      <c r="U123" s="150"/>
      <c r="V123" s="150">
        <f>T123-U123</f>
        <v>-845699.73333333305</v>
      </c>
      <c r="W123" s="150" t="s">
        <v>146</v>
      </c>
      <c r="X123" s="151">
        <f>P121+P152</f>
        <v>10464.266666666666</v>
      </c>
    </row>
    <row r="124" spans="2:24" x14ac:dyDescent="0.25">
      <c r="B124" s="219" t="s">
        <v>147</v>
      </c>
      <c r="C124" s="219"/>
      <c r="D124" s="219"/>
      <c r="E124" s="219"/>
      <c r="F124" s="219"/>
      <c r="G124" s="219"/>
      <c r="H124" s="219"/>
      <c r="I124" s="219"/>
      <c r="J124" s="219"/>
      <c r="K124" s="219"/>
      <c r="L124" s="219"/>
      <c r="M124" s="219"/>
      <c r="N124" s="219"/>
      <c r="O124" s="219"/>
      <c r="P124" s="219"/>
      <c r="S124" s="150"/>
      <c r="T124" s="150"/>
      <c r="U124" s="150"/>
      <c r="V124" s="150"/>
      <c r="W124" s="150"/>
      <c r="X124" s="151"/>
    </row>
    <row r="125" spans="2:24" x14ac:dyDescent="0.25">
      <c r="B125" s="213"/>
      <c r="C125" s="215" t="s">
        <v>50</v>
      </c>
      <c r="D125" s="215" t="s">
        <v>51</v>
      </c>
      <c r="E125" s="215" t="s">
        <v>52</v>
      </c>
      <c r="F125" s="215" t="s">
        <v>53</v>
      </c>
      <c r="G125" s="215" t="s">
        <v>54</v>
      </c>
      <c r="H125" s="215" t="s">
        <v>55</v>
      </c>
      <c r="I125" s="215" t="s">
        <v>56</v>
      </c>
      <c r="J125" s="215" t="s">
        <v>57</v>
      </c>
      <c r="K125" s="215" t="s">
        <v>58</v>
      </c>
      <c r="L125" s="215" t="s">
        <v>59</v>
      </c>
      <c r="M125" s="215" t="s">
        <v>60</v>
      </c>
      <c r="N125" s="215" t="s">
        <v>61</v>
      </c>
      <c r="O125" s="220" t="s">
        <v>62</v>
      </c>
      <c r="P125" s="221"/>
      <c r="S125" s="156" t="s">
        <v>38</v>
      </c>
      <c r="T125" s="156">
        <f>T114+T120</f>
        <v>-562779.73333333305</v>
      </c>
      <c r="U125" s="156">
        <f>U114</f>
        <v>46520.238095238099</v>
      </c>
      <c r="V125" s="156">
        <f>T125-U125</f>
        <v>-609299.97142857115</v>
      </c>
      <c r="W125" s="156" t="s">
        <v>39</v>
      </c>
      <c r="X125" s="157">
        <f>X114+X120</f>
        <v>-733321.9714285715</v>
      </c>
    </row>
    <row r="126" spans="2:24" x14ac:dyDescent="0.25">
      <c r="B126" s="214"/>
      <c r="C126" s="216"/>
      <c r="D126" s="216"/>
      <c r="E126" s="216"/>
      <c r="F126" s="216"/>
      <c r="G126" s="216"/>
      <c r="H126" s="216"/>
      <c r="I126" s="216"/>
      <c r="J126" s="216"/>
      <c r="K126" s="216"/>
      <c r="L126" s="216"/>
      <c r="M126" s="216"/>
      <c r="N126" s="216"/>
      <c r="O126" s="58" t="s">
        <v>64</v>
      </c>
      <c r="P126" s="58" t="s">
        <v>65</v>
      </c>
      <c r="W126" s="158" t="s">
        <v>42</v>
      </c>
      <c r="X126" s="159">
        <f>V125-X125</f>
        <v>124022.00000000035</v>
      </c>
    </row>
    <row r="127" spans="2:24" x14ac:dyDescent="0.25">
      <c r="B127" s="46" t="s">
        <v>102</v>
      </c>
      <c r="C127" s="34"/>
      <c r="D127" s="34"/>
      <c r="E127" s="34"/>
      <c r="F127" s="34"/>
      <c r="G127" s="34"/>
      <c r="H127" s="34"/>
      <c r="I127" s="34"/>
      <c r="J127" s="34"/>
      <c r="K127" s="34"/>
      <c r="L127" s="34">
        <v>8200</v>
      </c>
      <c r="M127" s="34"/>
      <c r="N127" s="34"/>
      <c r="O127" s="60" t="s">
        <v>103</v>
      </c>
      <c r="P127" s="61">
        <f>SUM(C127:N127)</f>
        <v>8200</v>
      </c>
    </row>
    <row r="128" spans="2:24" x14ac:dyDescent="0.25">
      <c r="B128" s="34" t="s">
        <v>105</v>
      </c>
      <c r="C128" s="34"/>
      <c r="D128" s="34"/>
      <c r="E128" s="34"/>
      <c r="F128" s="34"/>
      <c r="G128" s="34"/>
      <c r="H128" s="34"/>
      <c r="I128" s="34"/>
      <c r="J128" s="34"/>
      <c r="K128" s="34"/>
      <c r="L128" s="35">
        <v>8200</v>
      </c>
      <c r="M128" s="34"/>
      <c r="N128" s="34"/>
      <c r="O128" s="34"/>
      <c r="P128" s="34"/>
    </row>
    <row r="129" spans="2:16" x14ac:dyDescent="0.25">
      <c r="B129" s="34" t="s">
        <v>106</v>
      </c>
      <c r="C129" s="34">
        <f t="shared" ref="C129:N129" si="56">$P$129/12</f>
        <v>262.50000000000006</v>
      </c>
      <c r="D129" s="34">
        <f t="shared" si="56"/>
        <v>262.50000000000006</v>
      </c>
      <c r="E129" s="34">
        <f t="shared" si="56"/>
        <v>262.50000000000006</v>
      </c>
      <c r="F129" s="34">
        <f t="shared" si="56"/>
        <v>262.50000000000006</v>
      </c>
      <c r="G129" s="34">
        <f t="shared" si="56"/>
        <v>262.50000000000006</v>
      </c>
      <c r="H129" s="34">
        <f t="shared" si="56"/>
        <v>262.50000000000006</v>
      </c>
      <c r="I129" s="34">
        <f t="shared" si="56"/>
        <v>262.50000000000006</v>
      </c>
      <c r="J129" s="34">
        <f t="shared" si="56"/>
        <v>262.50000000000006</v>
      </c>
      <c r="K129" s="34">
        <f t="shared" si="56"/>
        <v>262.50000000000006</v>
      </c>
      <c r="L129" s="34">
        <f t="shared" si="56"/>
        <v>262.50000000000006</v>
      </c>
      <c r="M129" s="34">
        <f t="shared" si="56"/>
        <v>262.50000000000006</v>
      </c>
      <c r="N129" s="34">
        <f t="shared" si="56"/>
        <v>262.50000000000006</v>
      </c>
      <c r="O129" s="60" t="s">
        <v>107</v>
      </c>
      <c r="P129" s="61">
        <f>Emprunt!D10</f>
        <v>3150.0000000000005</v>
      </c>
    </row>
    <row r="130" spans="2:16" x14ac:dyDescent="0.25">
      <c r="B130" s="34" t="s">
        <v>108</v>
      </c>
      <c r="C130" s="34">
        <f t="shared" ref="C130:N130" si="57">$P$130/12</f>
        <v>2500</v>
      </c>
      <c r="D130" s="34">
        <f t="shared" si="57"/>
        <v>2500</v>
      </c>
      <c r="E130" s="34">
        <f t="shared" si="57"/>
        <v>2500</v>
      </c>
      <c r="F130" s="34">
        <f t="shared" si="57"/>
        <v>2500</v>
      </c>
      <c r="G130" s="34">
        <f t="shared" si="57"/>
        <v>2500</v>
      </c>
      <c r="H130" s="34">
        <f t="shared" si="57"/>
        <v>2500</v>
      </c>
      <c r="I130" s="34">
        <f t="shared" si="57"/>
        <v>2500</v>
      </c>
      <c r="J130" s="34">
        <f t="shared" si="57"/>
        <v>2500</v>
      </c>
      <c r="K130" s="34">
        <f t="shared" si="57"/>
        <v>2500</v>
      </c>
      <c r="L130" s="34">
        <f t="shared" si="57"/>
        <v>2500</v>
      </c>
      <c r="M130" s="34">
        <f t="shared" si="57"/>
        <v>2500</v>
      </c>
      <c r="N130" s="34">
        <f t="shared" si="57"/>
        <v>2500</v>
      </c>
      <c r="O130" s="60" t="s">
        <v>109</v>
      </c>
      <c r="P130" s="61">
        <f>Emprunt!E9</f>
        <v>30000</v>
      </c>
    </row>
    <row r="131" spans="2:16" x14ac:dyDescent="0.25">
      <c r="B131" s="59" t="s">
        <v>71</v>
      </c>
      <c r="C131" s="59">
        <f t="shared" ref="C131:N131" si="58">C129+C130</f>
        <v>2762.5</v>
      </c>
      <c r="D131" s="59">
        <f t="shared" si="58"/>
        <v>2762.5</v>
      </c>
      <c r="E131" s="59">
        <f t="shared" si="58"/>
        <v>2762.5</v>
      </c>
      <c r="F131" s="59">
        <f t="shared" si="58"/>
        <v>2762.5</v>
      </c>
      <c r="G131" s="59">
        <f t="shared" si="58"/>
        <v>2762.5</v>
      </c>
      <c r="H131" s="59">
        <f t="shared" si="58"/>
        <v>2762.5</v>
      </c>
      <c r="I131" s="59">
        <f t="shared" si="58"/>
        <v>2762.5</v>
      </c>
      <c r="J131" s="59">
        <f t="shared" si="58"/>
        <v>2762.5</v>
      </c>
      <c r="K131" s="59">
        <f t="shared" si="58"/>
        <v>2762.5</v>
      </c>
      <c r="L131" s="59">
        <f>L129+L130</f>
        <v>2762.5</v>
      </c>
      <c r="M131" s="59">
        <f t="shared" si="58"/>
        <v>2762.5</v>
      </c>
      <c r="N131" s="59">
        <f t="shared" si="58"/>
        <v>2762.5</v>
      </c>
      <c r="O131" s="113"/>
      <c r="P131" s="113"/>
    </row>
    <row r="134" spans="2:16" x14ac:dyDescent="0.25">
      <c r="B134" s="177" t="s">
        <v>148</v>
      </c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</row>
    <row r="135" spans="2:16" x14ac:dyDescent="0.25">
      <c r="B135" s="213"/>
      <c r="C135" s="215" t="s">
        <v>50</v>
      </c>
      <c r="D135" s="215" t="s">
        <v>51</v>
      </c>
      <c r="E135" s="215" t="s">
        <v>52</v>
      </c>
      <c r="F135" s="215" t="s">
        <v>53</v>
      </c>
      <c r="G135" s="215" t="s">
        <v>54</v>
      </c>
      <c r="H135" s="215" t="s">
        <v>55</v>
      </c>
      <c r="I135" s="215" t="s">
        <v>56</v>
      </c>
      <c r="J135" s="215" t="s">
        <v>57</v>
      </c>
      <c r="K135" s="215" t="s">
        <v>58</v>
      </c>
      <c r="L135" s="215" t="s">
        <v>59</v>
      </c>
      <c r="M135" s="215" t="s">
        <v>60</v>
      </c>
      <c r="N135" s="215" t="s">
        <v>61</v>
      </c>
      <c r="O135" s="220" t="s">
        <v>62</v>
      </c>
      <c r="P135" s="221"/>
    </row>
    <row r="136" spans="2:16" x14ac:dyDescent="0.25">
      <c r="B136" s="214"/>
      <c r="C136" s="216"/>
      <c r="D136" s="216"/>
      <c r="E136" s="216"/>
      <c r="F136" s="216"/>
      <c r="G136" s="216"/>
      <c r="H136" s="216"/>
      <c r="I136" s="216"/>
      <c r="J136" s="216"/>
      <c r="K136" s="216"/>
      <c r="L136" s="216"/>
      <c r="M136" s="216"/>
      <c r="N136" s="216"/>
      <c r="O136" s="58" t="s">
        <v>64</v>
      </c>
      <c r="P136" s="58" t="s">
        <v>65</v>
      </c>
    </row>
    <row r="137" spans="2:16" x14ac:dyDescent="0.25">
      <c r="B137" s="34" t="s">
        <v>111</v>
      </c>
      <c r="C137" s="34"/>
      <c r="D137" s="34"/>
      <c r="E137" s="34"/>
      <c r="F137" s="34"/>
      <c r="G137" s="34"/>
      <c r="H137" s="34">
        <f>Emprunt!J14</f>
        <v>17000</v>
      </c>
      <c r="I137" s="34"/>
      <c r="J137" s="34"/>
      <c r="K137" s="34"/>
      <c r="L137" s="34"/>
      <c r="M137" s="34"/>
      <c r="N137" s="34"/>
      <c r="O137" s="60" t="s">
        <v>112</v>
      </c>
      <c r="P137" s="61">
        <f>SUM(C137:N137)</f>
        <v>17000</v>
      </c>
    </row>
    <row r="138" spans="2:16" x14ac:dyDescent="0.25">
      <c r="B138" s="34" t="s">
        <v>113</v>
      </c>
      <c r="C138" s="34">
        <f t="shared" ref="C138:N138" si="59">C137*20%</f>
        <v>0</v>
      </c>
      <c r="D138" s="34">
        <f t="shared" si="59"/>
        <v>0</v>
      </c>
      <c r="E138" s="34">
        <f t="shared" si="59"/>
        <v>0</v>
      </c>
      <c r="F138" s="34">
        <f t="shared" si="59"/>
        <v>0</v>
      </c>
      <c r="G138" s="34">
        <f t="shared" si="59"/>
        <v>0</v>
      </c>
      <c r="H138" s="34">
        <f t="shared" si="59"/>
        <v>3400</v>
      </c>
      <c r="I138" s="34">
        <f t="shared" si="59"/>
        <v>0</v>
      </c>
      <c r="J138" s="34">
        <f t="shared" si="59"/>
        <v>0</v>
      </c>
      <c r="K138" s="34">
        <f t="shared" si="59"/>
        <v>0</v>
      </c>
      <c r="L138" s="34">
        <f t="shared" si="59"/>
        <v>0</v>
      </c>
      <c r="M138" s="34">
        <f t="shared" si="59"/>
        <v>0</v>
      </c>
      <c r="N138" s="34">
        <f t="shared" si="59"/>
        <v>0</v>
      </c>
      <c r="O138" s="34"/>
      <c r="P138" s="34"/>
    </row>
    <row r="139" spans="2:16" x14ac:dyDescent="0.25">
      <c r="B139" s="34" t="s">
        <v>114</v>
      </c>
      <c r="C139" s="34">
        <f t="shared" ref="C139:N139" si="60">C137+C138</f>
        <v>0</v>
      </c>
      <c r="D139" s="34">
        <f t="shared" si="60"/>
        <v>0</v>
      </c>
      <c r="E139" s="34">
        <f t="shared" si="60"/>
        <v>0</v>
      </c>
      <c r="F139" s="34">
        <f t="shared" si="60"/>
        <v>0</v>
      </c>
      <c r="G139" s="34">
        <f t="shared" si="60"/>
        <v>0</v>
      </c>
      <c r="H139" s="34">
        <f t="shared" si="60"/>
        <v>20400</v>
      </c>
      <c r="I139" s="34">
        <f t="shared" si="60"/>
        <v>0</v>
      </c>
      <c r="J139" s="34">
        <f t="shared" si="60"/>
        <v>0</v>
      </c>
      <c r="K139" s="34">
        <f t="shared" si="60"/>
        <v>0</v>
      </c>
      <c r="L139" s="34">
        <f t="shared" si="60"/>
        <v>0</v>
      </c>
      <c r="M139" s="34">
        <f t="shared" si="60"/>
        <v>0</v>
      </c>
      <c r="N139" s="34">
        <f t="shared" si="60"/>
        <v>0</v>
      </c>
      <c r="O139" s="34"/>
      <c r="P139" s="34"/>
    </row>
    <row r="140" spans="2:16" x14ac:dyDescent="0.25">
      <c r="B140" s="59" t="s">
        <v>81</v>
      </c>
      <c r="C140" s="59">
        <f t="shared" ref="C140:N140" si="61">C139</f>
        <v>0</v>
      </c>
      <c r="D140" s="59">
        <f t="shared" si="61"/>
        <v>0</v>
      </c>
      <c r="E140" s="59">
        <f t="shared" si="61"/>
        <v>0</v>
      </c>
      <c r="F140" s="59">
        <f t="shared" si="61"/>
        <v>0</v>
      </c>
      <c r="G140" s="59">
        <f t="shared" si="61"/>
        <v>0</v>
      </c>
      <c r="H140" s="59">
        <f t="shared" si="61"/>
        <v>20400</v>
      </c>
      <c r="I140" s="59">
        <f t="shared" si="61"/>
        <v>0</v>
      </c>
      <c r="J140" s="59">
        <f t="shared" si="61"/>
        <v>0</v>
      </c>
      <c r="K140" s="59">
        <f t="shared" si="61"/>
        <v>0</v>
      </c>
      <c r="L140" s="59">
        <f t="shared" si="61"/>
        <v>0</v>
      </c>
      <c r="M140" s="59">
        <f t="shared" si="61"/>
        <v>0</v>
      </c>
      <c r="N140" s="59">
        <f t="shared" si="61"/>
        <v>0</v>
      </c>
      <c r="O140" s="60" t="s">
        <v>115</v>
      </c>
      <c r="P140" s="61">
        <v>0</v>
      </c>
    </row>
    <row r="141" spans="2:16" x14ac:dyDescent="0.25">
      <c r="C141" s="20" t="s">
        <v>149</v>
      </c>
    </row>
    <row r="143" spans="2:16" x14ac:dyDescent="0.25">
      <c r="B143" s="177" t="s">
        <v>150</v>
      </c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</row>
    <row r="144" spans="2:16" x14ac:dyDescent="0.25">
      <c r="B144" s="213"/>
      <c r="C144" s="215" t="s">
        <v>50</v>
      </c>
      <c r="D144" s="215" t="s">
        <v>51</v>
      </c>
      <c r="E144" s="215" t="s">
        <v>52</v>
      </c>
      <c r="F144" s="215" t="s">
        <v>53</v>
      </c>
      <c r="G144" s="215" t="s">
        <v>54</v>
      </c>
      <c r="H144" s="215" t="s">
        <v>55</v>
      </c>
      <c r="I144" s="215" t="s">
        <v>56</v>
      </c>
      <c r="J144" s="215" t="s">
        <v>57</v>
      </c>
      <c r="K144" s="215" t="s">
        <v>58</v>
      </c>
      <c r="L144" s="215" t="s">
        <v>59</v>
      </c>
      <c r="M144" s="215" t="s">
        <v>60</v>
      </c>
      <c r="N144" s="215" t="s">
        <v>61</v>
      </c>
      <c r="O144" s="220" t="s">
        <v>62</v>
      </c>
      <c r="P144" s="221"/>
    </row>
    <row r="145" spans="2:16" x14ac:dyDescent="0.25">
      <c r="B145" s="214"/>
      <c r="C145" s="216"/>
      <c r="D145" s="216"/>
      <c r="E145" s="216"/>
      <c r="F145" s="216"/>
      <c r="G145" s="216"/>
      <c r="H145" s="216"/>
      <c r="I145" s="216"/>
      <c r="J145" s="216"/>
      <c r="K145" s="216"/>
      <c r="L145" s="216"/>
      <c r="M145" s="216"/>
      <c r="N145" s="216"/>
      <c r="O145" s="58" t="s">
        <v>64</v>
      </c>
      <c r="P145" s="58" t="s">
        <v>65</v>
      </c>
    </row>
    <row r="146" spans="2:16" x14ac:dyDescent="0.25">
      <c r="B146" s="59" t="s">
        <v>68</v>
      </c>
      <c r="C146" s="59">
        <f t="shared" ref="C146:N146" si="62">C93</f>
        <v>2403.3333333333339</v>
      </c>
      <c r="D146" s="59">
        <f t="shared" si="62"/>
        <v>2403.3333333333339</v>
      </c>
      <c r="E146" s="59">
        <f t="shared" si="62"/>
        <v>2403.3333333333339</v>
      </c>
      <c r="F146" s="59">
        <f t="shared" si="62"/>
        <v>2403.3333333333339</v>
      </c>
      <c r="G146" s="59">
        <f t="shared" si="62"/>
        <v>2403.3333333333339</v>
      </c>
      <c r="H146" s="59">
        <f t="shared" si="62"/>
        <v>2403.3333333333339</v>
      </c>
      <c r="I146" s="59">
        <f t="shared" si="62"/>
        <v>2403.3333333333339</v>
      </c>
      <c r="J146" s="59">
        <f t="shared" si="62"/>
        <v>2403.3333333333339</v>
      </c>
      <c r="K146" s="59">
        <f t="shared" si="62"/>
        <v>2403.3333333333339</v>
      </c>
      <c r="L146" s="59">
        <f t="shared" si="62"/>
        <v>2403.3333333333339</v>
      </c>
      <c r="M146" s="59">
        <f t="shared" si="62"/>
        <v>2403.3333333333339</v>
      </c>
      <c r="N146" s="59">
        <f t="shared" si="62"/>
        <v>2403.3333333333339</v>
      </c>
      <c r="O146" s="34"/>
      <c r="P146" s="34"/>
    </row>
    <row r="147" spans="2:16" x14ac:dyDescent="0.25">
      <c r="B147" s="34" t="s">
        <v>79</v>
      </c>
      <c r="C147" s="34">
        <f t="shared" ref="C147:N147" si="63">C102</f>
        <v>769.06666666666695</v>
      </c>
      <c r="D147" s="34">
        <f t="shared" si="63"/>
        <v>769.06666666666695</v>
      </c>
      <c r="E147" s="34">
        <f t="shared" si="63"/>
        <v>769.06666666666695</v>
      </c>
      <c r="F147" s="34">
        <f t="shared" si="63"/>
        <v>769.06666666666695</v>
      </c>
      <c r="G147" s="34">
        <f t="shared" si="63"/>
        <v>769.06666666666695</v>
      </c>
      <c r="H147" s="34">
        <f t="shared" si="63"/>
        <v>769.06666666666695</v>
      </c>
      <c r="I147" s="34">
        <f t="shared" si="63"/>
        <v>769.06666666666695</v>
      </c>
      <c r="J147" s="34">
        <f t="shared" si="63"/>
        <v>769.06666666666695</v>
      </c>
      <c r="K147" s="34">
        <f t="shared" si="63"/>
        <v>769.06666666666695</v>
      </c>
      <c r="L147" s="34">
        <f t="shared" si="63"/>
        <v>769.06666666666695</v>
      </c>
      <c r="M147" s="34">
        <f t="shared" si="63"/>
        <v>769.06666666666695</v>
      </c>
      <c r="N147" s="34">
        <f t="shared" si="63"/>
        <v>769.06666666666695</v>
      </c>
      <c r="O147" s="34"/>
      <c r="P147" s="34"/>
    </row>
    <row r="148" spans="2:16" x14ac:dyDescent="0.25">
      <c r="B148" s="34" t="s">
        <v>86</v>
      </c>
      <c r="C148" s="34">
        <f t="shared" ref="C148:N148" si="64">C111</f>
        <v>1420</v>
      </c>
      <c r="D148" s="34">
        <f t="shared" si="64"/>
        <v>1420</v>
      </c>
      <c r="E148" s="34">
        <f t="shared" si="64"/>
        <v>1420</v>
      </c>
      <c r="F148" s="34">
        <f t="shared" si="64"/>
        <v>1420</v>
      </c>
      <c r="G148" s="34">
        <f t="shared" si="64"/>
        <v>1420</v>
      </c>
      <c r="H148" s="34">
        <f t="shared" si="64"/>
        <v>1420</v>
      </c>
      <c r="I148" s="34">
        <f t="shared" si="64"/>
        <v>1420</v>
      </c>
      <c r="J148" s="34">
        <f t="shared" si="64"/>
        <v>1420</v>
      </c>
      <c r="K148" s="34">
        <f t="shared" si="64"/>
        <v>1420</v>
      </c>
      <c r="L148" s="34">
        <f t="shared" si="64"/>
        <v>1420</v>
      </c>
      <c r="M148" s="34">
        <f t="shared" si="64"/>
        <v>1420</v>
      </c>
      <c r="N148" s="34">
        <f t="shared" si="64"/>
        <v>1420</v>
      </c>
      <c r="O148" s="34"/>
      <c r="P148" s="34"/>
    </row>
    <row r="149" spans="2:16" x14ac:dyDescent="0.25">
      <c r="B149" s="59" t="s">
        <v>113</v>
      </c>
      <c r="C149" s="59">
        <f t="shared" ref="C149:N149" si="65">C138</f>
        <v>0</v>
      </c>
      <c r="D149" s="59">
        <f t="shared" si="65"/>
        <v>0</v>
      </c>
      <c r="E149" s="59">
        <f t="shared" si="65"/>
        <v>0</v>
      </c>
      <c r="F149" s="59">
        <f t="shared" si="65"/>
        <v>0</v>
      </c>
      <c r="G149" s="59">
        <f t="shared" si="65"/>
        <v>0</v>
      </c>
      <c r="H149" s="59">
        <f t="shared" si="65"/>
        <v>3400</v>
      </c>
      <c r="I149" s="59">
        <f t="shared" si="65"/>
        <v>0</v>
      </c>
      <c r="J149" s="59">
        <f t="shared" si="65"/>
        <v>0</v>
      </c>
      <c r="K149" s="59">
        <f t="shared" si="65"/>
        <v>0</v>
      </c>
      <c r="L149" s="59">
        <f t="shared" si="65"/>
        <v>0</v>
      </c>
      <c r="M149" s="59">
        <f t="shared" si="65"/>
        <v>0</v>
      </c>
      <c r="N149" s="59">
        <f t="shared" si="65"/>
        <v>0</v>
      </c>
      <c r="O149" s="34"/>
      <c r="P149" s="34"/>
    </row>
    <row r="150" spans="2:16" x14ac:dyDescent="0.25">
      <c r="B150" s="114" t="s">
        <v>117</v>
      </c>
      <c r="C150" s="115">
        <f t="shared" ref="C150:N150" si="66">C147+C148+C149</f>
        <v>2189.0666666666671</v>
      </c>
      <c r="D150" s="115">
        <f t="shared" si="66"/>
        <v>2189.0666666666671</v>
      </c>
      <c r="E150" s="115">
        <f t="shared" si="66"/>
        <v>2189.0666666666671</v>
      </c>
      <c r="F150" s="115">
        <f t="shared" si="66"/>
        <v>2189.0666666666671</v>
      </c>
      <c r="G150" s="115">
        <f t="shared" si="66"/>
        <v>2189.0666666666671</v>
      </c>
      <c r="H150" s="115">
        <f t="shared" si="66"/>
        <v>5589.0666666666675</v>
      </c>
      <c r="I150" s="115">
        <f t="shared" si="66"/>
        <v>2189.0666666666671</v>
      </c>
      <c r="J150" s="115">
        <f t="shared" si="66"/>
        <v>2189.0666666666671</v>
      </c>
      <c r="K150" s="115">
        <f t="shared" si="66"/>
        <v>2189.0666666666671</v>
      </c>
      <c r="L150" s="115">
        <f t="shared" si="66"/>
        <v>2189.0666666666671</v>
      </c>
      <c r="M150" s="115">
        <f t="shared" si="66"/>
        <v>2189.0666666666671</v>
      </c>
      <c r="N150" s="115">
        <f t="shared" si="66"/>
        <v>2189.0666666666671</v>
      </c>
      <c r="O150" s="34"/>
      <c r="P150" s="34"/>
    </row>
    <row r="151" spans="2:16" x14ac:dyDescent="0.25">
      <c r="B151" s="116" t="s">
        <v>118</v>
      </c>
      <c r="C151" s="117">
        <f t="shared" ref="C151:N151" si="67">C146-C150</f>
        <v>214.26666666666688</v>
      </c>
      <c r="D151" s="117">
        <f t="shared" si="67"/>
        <v>214.26666666666688</v>
      </c>
      <c r="E151" s="117">
        <f t="shared" si="67"/>
        <v>214.26666666666688</v>
      </c>
      <c r="F151" s="117">
        <f t="shared" si="67"/>
        <v>214.26666666666688</v>
      </c>
      <c r="G151" s="117">
        <f t="shared" si="67"/>
        <v>214.26666666666688</v>
      </c>
      <c r="H151" s="117">
        <f t="shared" si="67"/>
        <v>-3185.7333333333336</v>
      </c>
      <c r="I151" s="117">
        <f t="shared" si="67"/>
        <v>214.26666666666688</v>
      </c>
      <c r="J151" s="117">
        <f t="shared" si="67"/>
        <v>214.26666666666688</v>
      </c>
      <c r="K151" s="117">
        <f t="shared" si="67"/>
        <v>214.26666666666688</v>
      </c>
      <c r="L151" s="117">
        <f t="shared" si="67"/>
        <v>214.26666666666688</v>
      </c>
      <c r="M151" s="117">
        <f t="shared" si="67"/>
        <v>214.26666666666688</v>
      </c>
      <c r="N151" s="117">
        <f t="shared" si="67"/>
        <v>214.26666666666688</v>
      </c>
      <c r="O151" s="34"/>
      <c r="P151" s="34"/>
    </row>
    <row r="152" spans="2:16" x14ac:dyDescent="0.25">
      <c r="B152" s="59" t="s">
        <v>81</v>
      </c>
      <c r="C152" s="59">
        <f>P64</f>
        <v>213.33333333333348</v>
      </c>
      <c r="D152" s="59">
        <f t="shared" ref="D152:N152" si="68">C151</f>
        <v>214.26666666666688</v>
      </c>
      <c r="E152" s="59">
        <f t="shared" si="68"/>
        <v>214.26666666666688</v>
      </c>
      <c r="F152" s="59">
        <f t="shared" si="68"/>
        <v>214.26666666666688</v>
      </c>
      <c r="G152" s="59">
        <f t="shared" si="68"/>
        <v>214.26666666666688</v>
      </c>
      <c r="H152" s="59">
        <f t="shared" si="68"/>
        <v>214.26666666666688</v>
      </c>
      <c r="I152" s="59">
        <f t="shared" si="68"/>
        <v>-3185.7333333333336</v>
      </c>
      <c r="J152" s="59">
        <f t="shared" si="68"/>
        <v>214.26666666666688</v>
      </c>
      <c r="K152" s="59">
        <f t="shared" si="68"/>
        <v>214.26666666666688</v>
      </c>
      <c r="L152" s="59">
        <f t="shared" si="68"/>
        <v>214.26666666666688</v>
      </c>
      <c r="M152" s="59">
        <f t="shared" si="68"/>
        <v>214.26666666666688</v>
      </c>
      <c r="N152" s="59">
        <f t="shared" si="68"/>
        <v>214.26666666666688</v>
      </c>
      <c r="O152" s="60" t="s">
        <v>119</v>
      </c>
      <c r="P152" s="61">
        <f>N151</f>
        <v>214.26666666666688</v>
      </c>
    </row>
    <row r="155" spans="2:16" x14ac:dyDescent="0.25">
      <c r="B155" s="177" t="s">
        <v>151</v>
      </c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</row>
    <row r="156" spans="2:16" x14ac:dyDescent="0.25">
      <c r="B156" s="213"/>
      <c r="C156" s="215" t="s">
        <v>50</v>
      </c>
      <c r="D156" s="215" t="s">
        <v>51</v>
      </c>
      <c r="E156" s="215" t="s">
        <v>52</v>
      </c>
      <c r="F156" s="215" t="s">
        <v>53</v>
      </c>
      <c r="G156" s="215" t="s">
        <v>54</v>
      </c>
      <c r="H156" s="215" t="s">
        <v>55</v>
      </c>
      <c r="I156" s="215" t="s">
        <v>56</v>
      </c>
      <c r="J156" s="215" t="s">
        <v>57</v>
      </c>
      <c r="K156" s="215" t="s">
        <v>58</v>
      </c>
      <c r="L156" s="215" t="s">
        <v>59</v>
      </c>
      <c r="M156" s="215" t="s">
        <v>60</v>
      </c>
      <c r="N156" s="215" t="s">
        <v>61</v>
      </c>
      <c r="O156" s="220" t="s">
        <v>62</v>
      </c>
      <c r="P156" s="221"/>
    </row>
    <row r="157" spans="2:16" x14ac:dyDescent="0.25">
      <c r="B157" s="214"/>
      <c r="C157" s="216"/>
      <c r="D157" s="216"/>
      <c r="E157" s="216"/>
      <c r="F157" s="216"/>
      <c r="G157" s="216"/>
      <c r="H157" s="216"/>
      <c r="I157" s="216"/>
      <c r="J157" s="216"/>
      <c r="K157" s="216"/>
      <c r="L157" s="216"/>
      <c r="M157" s="216"/>
      <c r="N157" s="216"/>
      <c r="O157" s="58" t="s">
        <v>64</v>
      </c>
      <c r="P157" s="58" t="s">
        <v>65</v>
      </c>
    </row>
    <row r="158" spans="2:16" x14ac:dyDescent="0.25">
      <c r="B158" s="34" t="s">
        <v>121</v>
      </c>
      <c r="C158" s="34">
        <f t="shared" ref="C158:N158" si="69">C95</f>
        <v>168000</v>
      </c>
      <c r="D158" s="34">
        <f t="shared" si="69"/>
        <v>14420.000000000004</v>
      </c>
      <c r="E158" s="34">
        <f t="shared" si="69"/>
        <v>14420.000000000004</v>
      </c>
      <c r="F158" s="34">
        <f t="shared" si="69"/>
        <v>14420.000000000004</v>
      </c>
      <c r="G158" s="34">
        <f t="shared" si="69"/>
        <v>14420.000000000004</v>
      </c>
      <c r="H158" s="34">
        <f t="shared" si="69"/>
        <v>14420.000000000004</v>
      </c>
      <c r="I158" s="34">
        <f t="shared" si="69"/>
        <v>14420.000000000004</v>
      </c>
      <c r="J158" s="117">
        <f t="shared" si="69"/>
        <v>14420.000000000004</v>
      </c>
      <c r="K158" s="34">
        <f t="shared" si="69"/>
        <v>14420.000000000004</v>
      </c>
      <c r="L158" s="34">
        <f t="shared" si="69"/>
        <v>14420.000000000004</v>
      </c>
      <c r="M158" s="34">
        <f t="shared" si="69"/>
        <v>14420.000000000004</v>
      </c>
      <c r="N158" s="34">
        <f t="shared" si="69"/>
        <v>14420.000000000004</v>
      </c>
      <c r="O158" s="34"/>
      <c r="P158" s="34"/>
    </row>
    <row r="159" spans="2:16" x14ac:dyDescent="0.25">
      <c r="B159" s="34" t="s">
        <v>122</v>
      </c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4"/>
      <c r="N159" s="34"/>
      <c r="O159" s="34"/>
      <c r="P159" s="34"/>
    </row>
    <row r="160" spans="2:16" x14ac:dyDescent="0.25">
      <c r="B160" s="59" t="s">
        <v>123</v>
      </c>
      <c r="C160" s="59">
        <f t="shared" ref="C160:N160" si="70">C159+C158</f>
        <v>168000</v>
      </c>
      <c r="D160" s="59">
        <f t="shared" si="70"/>
        <v>14420.000000000004</v>
      </c>
      <c r="E160" s="59">
        <f t="shared" si="70"/>
        <v>14420.000000000004</v>
      </c>
      <c r="F160" s="59">
        <f t="shared" si="70"/>
        <v>14420.000000000004</v>
      </c>
      <c r="G160" s="59">
        <f t="shared" si="70"/>
        <v>14420.000000000004</v>
      </c>
      <c r="H160" s="59">
        <f t="shared" si="70"/>
        <v>14420.000000000004</v>
      </c>
      <c r="I160" s="59">
        <f t="shared" si="70"/>
        <v>14420.000000000004</v>
      </c>
      <c r="J160" s="59">
        <f t="shared" si="70"/>
        <v>14420.000000000004</v>
      </c>
      <c r="K160" s="59">
        <f t="shared" si="70"/>
        <v>14420.000000000004</v>
      </c>
      <c r="L160" s="59">
        <f t="shared" si="70"/>
        <v>14420.000000000004</v>
      </c>
      <c r="M160" s="59">
        <f t="shared" si="70"/>
        <v>14420.000000000004</v>
      </c>
      <c r="N160" s="59">
        <f t="shared" si="70"/>
        <v>14420.000000000004</v>
      </c>
      <c r="O160" s="34"/>
      <c r="P160" s="34"/>
    </row>
    <row r="161" spans="2:16" x14ac:dyDescent="0.25">
      <c r="B161" s="39" t="s">
        <v>124</v>
      </c>
      <c r="C161" s="41">
        <f t="shared" ref="C161:N161" si="71">C104</f>
        <v>4614.4000000000015</v>
      </c>
      <c r="D161" s="41">
        <f t="shared" si="71"/>
        <v>4614.4000000000015</v>
      </c>
      <c r="E161" s="41">
        <f t="shared" si="71"/>
        <v>4614.4000000000015</v>
      </c>
      <c r="F161" s="41">
        <f t="shared" si="71"/>
        <v>4614.4000000000015</v>
      </c>
      <c r="G161" s="41">
        <f t="shared" si="71"/>
        <v>4614.4000000000015</v>
      </c>
      <c r="H161" s="41">
        <f t="shared" si="71"/>
        <v>4614.4000000000015</v>
      </c>
      <c r="I161" s="41">
        <f t="shared" si="71"/>
        <v>4614.4000000000015</v>
      </c>
      <c r="J161" s="41">
        <f t="shared" si="71"/>
        <v>4614.4000000000015</v>
      </c>
      <c r="K161" s="41">
        <f t="shared" si="71"/>
        <v>4614.4000000000015</v>
      </c>
      <c r="L161" s="41">
        <f t="shared" si="71"/>
        <v>4614.4000000000015</v>
      </c>
      <c r="M161" s="41">
        <f t="shared" si="71"/>
        <v>4614.4000000000015</v>
      </c>
      <c r="N161" s="41">
        <f t="shared" si="71"/>
        <v>4614.4000000000015</v>
      </c>
      <c r="O161" s="34"/>
      <c r="P161" s="34"/>
    </row>
    <row r="162" spans="2:16" x14ac:dyDescent="0.25">
      <c r="B162" s="35" t="s">
        <v>125</v>
      </c>
      <c r="C162" s="35"/>
      <c r="D162" s="35"/>
      <c r="E162" s="35"/>
      <c r="F162" s="35"/>
      <c r="G162" s="35"/>
      <c r="H162" s="35"/>
      <c r="I162" s="35"/>
      <c r="J162" s="35"/>
      <c r="K162" s="35"/>
      <c r="L162" s="35"/>
      <c r="M162" s="35"/>
      <c r="N162" s="35"/>
      <c r="O162" s="34"/>
      <c r="P162" s="34"/>
    </row>
    <row r="163" spans="2:16" x14ac:dyDescent="0.25">
      <c r="B163" s="39" t="s">
        <v>126</v>
      </c>
      <c r="C163" s="41">
        <f t="shared" ref="C163:N163" si="72">C119</f>
        <v>25625</v>
      </c>
      <c r="D163" s="41">
        <f t="shared" si="72"/>
        <v>25625</v>
      </c>
      <c r="E163" s="41">
        <f t="shared" si="72"/>
        <v>25625</v>
      </c>
      <c r="F163" s="41">
        <f t="shared" si="72"/>
        <v>25625</v>
      </c>
      <c r="G163" s="41">
        <f t="shared" si="72"/>
        <v>25625</v>
      </c>
      <c r="H163" s="41">
        <f t="shared" si="72"/>
        <v>25625</v>
      </c>
      <c r="I163" s="41">
        <f t="shared" si="72"/>
        <v>25625</v>
      </c>
      <c r="J163" s="41">
        <f t="shared" si="72"/>
        <v>25625</v>
      </c>
      <c r="K163" s="41">
        <f t="shared" si="72"/>
        <v>25625</v>
      </c>
      <c r="L163" s="41">
        <f t="shared" si="72"/>
        <v>25625</v>
      </c>
      <c r="M163" s="41">
        <f t="shared" si="72"/>
        <v>25625</v>
      </c>
      <c r="N163" s="41">
        <f t="shared" si="72"/>
        <v>25625</v>
      </c>
      <c r="O163" s="34"/>
      <c r="P163" s="34"/>
    </row>
    <row r="164" spans="2:16" x14ac:dyDescent="0.25">
      <c r="B164" s="35" t="s">
        <v>21</v>
      </c>
      <c r="C164" s="35">
        <f t="shared" ref="C164:N164" si="73">C121</f>
        <v>10250</v>
      </c>
      <c r="D164" s="35">
        <f t="shared" si="73"/>
        <v>10250</v>
      </c>
      <c r="E164" s="35">
        <f t="shared" si="73"/>
        <v>10250</v>
      </c>
      <c r="F164" s="35">
        <f t="shared" si="73"/>
        <v>10250</v>
      </c>
      <c r="G164" s="35">
        <f t="shared" si="73"/>
        <v>10250</v>
      </c>
      <c r="H164" s="35">
        <f t="shared" si="73"/>
        <v>10250</v>
      </c>
      <c r="I164" s="35">
        <f t="shared" si="73"/>
        <v>10250</v>
      </c>
      <c r="J164" s="35">
        <f t="shared" si="73"/>
        <v>10250</v>
      </c>
      <c r="K164" s="35">
        <f t="shared" si="73"/>
        <v>10250</v>
      </c>
      <c r="L164" s="35">
        <f t="shared" si="73"/>
        <v>10250</v>
      </c>
      <c r="M164" s="35">
        <f t="shared" si="73"/>
        <v>10250</v>
      </c>
      <c r="N164" s="35">
        <f t="shared" si="73"/>
        <v>10250</v>
      </c>
      <c r="O164" s="34"/>
      <c r="P164" s="34"/>
    </row>
    <row r="165" spans="2:16" x14ac:dyDescent="0.25">
      <c r="B165" s="39" t="s">
        <v>102</v>
      </c>
      <c r="C165" s="41">
        <f t="shared" ref="C165:N165" si="74">C128</f>
        <v>0</v>
      </c>
      <c r="D165" s="41">
        <f t="shared" si="74"/>
        <v>0</v>
      </c>
      <c r="E165" s="41">
        <f t="shared" si="74"/>
        <v>0</v>
      </c>
      <c r="F165" s="41">
        <f t="shared" si="74"/>
        <v>0</v>
      </c>
      <c r="G165" s="41">
        <f t="shared" si="74"/>
        <v>0</v>
      </c>
      <c r="H165" s="41">
        <f t="shared" si="74"/>
        <v>0</v>
      </c>
      <c r="I165" s="41">
        <f t="shared" si="74"/>
        <v>0</v>
      </c>
      <c r="J165" s="41">
        <f t="shared" si="74"/>
        <v>0</v>
      </c>
      <c r="K165" s="41">
        <f t="shared" si="74"/>
        <v>0</v>
      </c>
      <c r="L165" s="41">
        <f t="shared" si="74"/>
        <v>8200</v>
      </c>
      <c r="M165" s="41">
        <f t="shared" si="74"/>
        <v>0</v>
      </c>
      <c r="N165" s="41">
        <f t="shared" si="74"/>
        <v>0</v>
      </c>
      <c r="O165" s="34"/>
      <c r="P165" s="34"/>
    </row>
    <row r="166" spans="2:16" x14ac:dyDescent="0.25">
      <c r="B166" s="35" t="s">
        <v>127</v>
      </c>
      <c r="C166" s="35">
        <f t="shared" ref="C166:N166" si="75">C113</f>
        <v>8520</v>
      </c>
      <c r="D166" s="35">
        <f t="shared" si="75"/>
        <v>8520</v>
      </c>
      <c r="E166" s="35">
        <f t="shared" si="75"/>
        <v>8520</v>
      </c>
      <c r="F166" s="35">
        <f t="shared" si="75"/>
        <v>8520</v>
      </c>
      <c r="G166" s="35">
        <f t="shared" si="75"/>
        <v>8520</v>
      </c>
      <c r="H166" s="35">
        <f t="shared" si="75"/>
        <v>8520</v>
      </c>
      <c r="I166" s="35">
        <f t="shared" si="75"/>
        <v>8520</v>
      </c>
      <c r="J166" s="35">
        <f t="shared" si="75"/>
        <v>8520</v>
      </c>
      <c r="K166" s="35">
        <f t="shared" si="75"/>
        <v>8520</v>
      </c>
      <c r="L166" s="35">
        <f t="shared" si="75"/>
        <v>8520</v>
      </c>
      <c r="M166" s="35">
        <f t="shared" si="75"/>
        <v>8520</v>
      </c>
      <c r="N166" s="35">
        <f t="shared" si="75"/>
        <v>8520</v>
      </c>
      <c r="O166" s="34"/>
      <c r="P166" s="34"/>
    </row>
    <row r="167" spans="2:16" x14ac:dyDescent="0.25">
      <c r="B167" s="39" t="s">
        <v>128</v>
      </c>
      <c r="C167" s="41">
        <f t="shared" ref="C167:N167" si="76">C131</f>
        <v>2762.5</v>
      </c>
      <c r="D167" s="41">
        <f t="shared" si="76"/>
        <v>2762.5</v>
      </c>
      <c r="E167" s="41">
        <f t="shared" si="76"/>
        <v>2762.5</v>
      </c>
      <c r="F167" s="41">
        <f t="shared" si="76"/>
        <v>2762.5</v>
      </c>
      <c r="G167" s="41">
        <f t="shared" si="76"/>
        <v>2762.5</v>
      </c>
      <c r="H167" s="41">
        <f t="shared" si="76"/>
        <v>2762.5</v>
      </c>
      <c r="I167" s="41">
        <f t="shared" si="76"/>
        <v>2762.5</v>
      </c>
      <c r="J167" s="41">
        <f t="shared" si="76"/>
        <v>2762.5</v>
      </c>
      <c r="K167" s="41">
        <f t="shared" si="76"/>
        <v>2762.5</v>
      </c>
      <c r="L167" s="41">
        <f t="shared" si="76"/>
        <v>2762.5</v>
      </c>
      <c r="M167" s="41">
        <f t="shared" si="76"/>
        <v>2762.5</v>
      </c>
      <c r="N167" s="41">
        <f t="shared" si="76"/>
        <v>2762.5</v>
      </c>
      <c r="O167" s="34"/>
      <c r="P167" s="34"/>
    </row>
    <row r="168" spans="2:16" x14ac:dyDescent="0.25">
      <c r="B168" s="35" t="s">
        <v>129</v>
      </c>
      <c r="C168" s="35">
        <f t="shared" ref="C168:N168" si="77">C139</f>
        <v>0</v>
      </c>
      <c r="D168" s="35">
        <f t="shared" si="77"/>
        <v>0</v>
      </c>
      <c r="E168" s="35">
        <f t="shared" si="77"/>
        <v>0</v>
      </c>
      <c r="F168" s="35">
        <f t="shared" si="77"/>
        <v>0</v>
      </c>
      <c r="G168" s="35">
        <f t="shared" si="77"/>
        <v>0</v>
      </c>
      <c r="H168" s="35">
        <f t="shared" si="77"/>
        <v>20400</v>
      </c>
      <c r="I168" s="35">
        <f t="shared" si="77"/>
        <v>0</v>
      </c>
      <c r="J168" s="35">
        <f t="shared" si="77"/>
        <v>0</v>
      </c>
      <c r="K168" s="35">
        <f t="shared" si="77"/>
        <v>0</v>
      </c>
      <c r="L168" s="35">
        <f t="shared" si="77"/>
        <v>0</v>
      </c>
      <c r="M168" s="35">
        <f t="shared" si="77"/>
        <v>0</v>
      </c>
      <c r="N168" s="35">
        <f t="shared" si="77"/>
        <v>0</v>
      </c>
      <c r="O168" s="34"/>
      <c r="P168" s="34"/>
    </row>
    <row r="169" spans="2:16" x14ac:dyDescent="0.25">
      <c r="B169" s="39" t="s">
        <v>130</v>
      </c>
      <c r="C169" s="41">
        <f t="shared" ref="C169:N169" si="78">C152</f>
        <v>213.33333333333348</v>
      </c>
      <c r="D169" s="41">
        <f t="shared" si="78"/>
        <v>214.26666666666688</v>
      </c>
      <c r="E169" s="41">
        <f t="shared" si="78"/>
        <v>214.26666666666688</v>
      </c>
      <c r="F169" s="41">
        <f t="shared" si="78"/>
        <v>214.26666666666688</v>
      </c>
      <c r="G169" s="41">
        <f t="shared" si="78"/>
        <v>214.26666666666688</v>
      </c>
      <c r="H169" s="41">
        <f t="shared" si="78"/>
        <v>214.26666666666688</v>
      </c>
      <c r="I169" s="41">
        <f t="shared" si="78"/>
        <v>-3185.7333333333336</v>
      </c>
      <c r="J169" s="41">
        <f t="shared" si="78"/>
        <v>214.26666666666688</v>
      </c>
      <c r="K169" s="41">
        <f t="shared" si="78"/>
        <v>214.26666666666688</v>
      </c>
      <c r="L169" s="41">
        <f t="shared" si="78"/>
        <v>214.26666666666688</v>
      </c>
      <c r="M169" s="41">
        <f t="shared" si="78"/>
        <v>214.26666666666688</v>
      </c>
      <c r="N169" s="41">
        <f t="shared" si="78"/>
        <v>214.26666666666688</v>
      </c>
      <c r="O169" s="34"/>
      <c r="P169" s="34"/>
    </row>
    <row r="170" spans="2:16" x14ac:dyDescent="0.25">
      <c r="B170" s="59" t="s">
        <v>131</v>
      </c>
      <c r="C170" s="59">
        <f t="shared" ref="C170:N170" si="79">SUM(C161:C169)</f>
        <v>51985.233333333337</v>
      </c>
      <c r="D170" s="59">
        <f t="shared" si="79"/>
        <v>51986.166666666672</v>
      </c>
      <c r="E170" s="59">
        <f t="shared" si="79"/>
        <v>51986.166666666672</v>
      </c>
      <c r="F170" s="59">
        <f t="shared" si="79"/>
        <v>51986.166666666672</v>
      </c>
      <c r="G170" s="59">
        <f t="shared" si="79"/>
        <v>51986.166666666672</v>
      </c>
      <c r="H170" s="59">
        <f t="shared" si="79"/>
        <v>72386.166666666657</v>
      </c>
      <c r="I170" s="59">
        <f t="shared" si="79"/>
        <v>48586.166666666672</v>
      </c>
      <c r="J170" s="59">
        <f t="shared" si="79"/>
        <v>51986.166666666672</v>
      </c>
      <c r="K170" s="59">
        <f t="shared" si="79"/>
        <v>51986.166666666672</v>
      </c>
      <c r="L170" s="59">
        <f t="shared" si="79"/>
        <v>60186.166666666672</v>
      </c>
      <c r="M170" s="59">
        <f t="shared" si="79"/>
        <v>51986.166666666672</v>
      </c>
      <c r="N170" s="59">
        <f t="shared" si="79"/>
        <v>51986.166666666672</v>
      </c>
      <c r="O170" s="34"/>
      <c r="P170" s="34"/>
    </row>
    <row r="171" spans="2:16" x14ac:dyDescent="0.25">
      <c r="B171" s="59" t="s">
        <v>132</v>
      </c>
      <c r="C171" s="59">
        <f>P85</f>
        <v>-523286.66666666657</v>
      </c>
      <c r="D171" s="59">
        <f t="shared" ref="D171:N171" si="80">C173</f>
        <v>-407271.89999999991</v>
      </c>
      <c r="E171" s="59">
        <f t="shared" si="80"/>
        <v>-444838.06666666659</v>
      </c>
      <c r="F171" s="59">
        <f t="shared" si="80"/>
        <v>-482404.23333333328</v>
      </c>
      <c r="G171" s="59">
        <f t="shared" si="80"/>
        <v>-519970.39999999997</v>
      </c>
      <c r="H171" s="59">
        <f t="shared" si="80"/>
        <v>-557536.56666666665</v>
      </c>
      <c r="I171" s="59">
        <f t="shared" si="80"/>
        <v>-615502.73333333328</v>
      </c>
      <c r="J171" s="59">
        <f t="shared" si="80"/>
        <v>-649668.89999999991</v>
      </c>
      <c r="K171" s="59">
        <f t="shared" si="80"/>
        <v>-687235.06666666653</v>
      </c>
      <c r="L171" s="59">
        <f t="shared" si="80"/>
        <v>-724801.23333333316</v>
      </c>
      <c r="M171" s="59">
        <f t="shared" si="80"/>
        <v>-770567.39999999979</v>
      </c>
      <c r="N171" s="59">
        <f t="shared" si="80"/>
        <v>-808133.56666666642</v>
      </c>
      <c r="O171" s="34"/>
      <c r="P171" s="34"/>
    </row>
    <row r="172" spans="2:16" x14ac:dyDescent="0.25">
      <c r="B172" s="34" t="s">
        <v>133</v>
      </c>
      <c r="C172" s="34">
        <f t="shared" ref="C172:N172" si="81">C160-C170</f>
        <v>116014.76666666666</v>
      </c>
      <c r="D172" s="34">
        <f t="shared" si="81"/>
        <v>-37566.166666666672</v>
      </c>
      <c r="E172" s="34">
        <f t="shared" si="81"/>
        <v>-37566.166666666672</v>
      </c>
      <c r="F172" s="34">
        <f t="shared" si="81"/>
        <v>-37566.166666666672</v>
      </c>
      <c r="G172" s="34">
        <f t="shared" si="81"/>
        <v>-37566.166666666672</v>
      </c>
      <c r="H172" s="34">
        <f t="shared" si="81"/>
        <v>-57966.166666666657</v>
      </c>
      <c r="I172" s="34">
        <f t="shared" si="81"/>
        <v>-34166.166666666672</v>
      </c>
      <c r="J172" s="34">
        <f t="shared" si="81"/>
        <v>-37566.166666666672</v>
      </c>
      <c r="K172" s="34">
        <f t="shared" si="81"/>
        <v>-37566.166666666672</v>
      </c>
      <c r="L172" s="34">
        <f t="shared" si="81"/>
        <v>-45766.166666666672</v>
      </c>
      <c r="M172" s="34">
        <f t="shared" si="81"/>
        <v>-37566.166666666672</v>
      </c>
      <c r="N172" s="34">
        <f t="shared" si="81"/>
        <v>-37566.166666666672</v>
      </c>
      <c r="O172" s="34"/>
      <c r="P172" s="34"/>
    </row>
    <row r="173" spans="2:16" x14ac:dyDescent="0.25">
      <c r="B173" s="59" t="s">
        <v>134</v>
      </c>
      <c r="C173" s="59">
        <f t="shared" ref="C173:N173" si="82">C171+C172</f>
        <v>-407271.89999999991</v>
      </c>
      <c r="D173" s="59">
        <f t="shared" si="82"/>
        <v>-444838.06666666659</v>
      </c>
      <c r="E173" s="59">
        <f t="shared" si="82"/>
        <v>-482404.23333333328</v>
      </c>
      <c r="F173" s="59">
        <f t="shared" si="82"/>
        <v>-519970.39999999997</v>
      </c>
      <c r="G173" s="59">
        <f t="shared" si="82"/>
        <v>-557536.56666666665</v>
      </c>
      <c r="H173" s="59">
        <f t="shared" si="82"/>
        <v>-615502.73333333328</v>
      </c>
      <c r="I173" s="59">
        <f t="shared" si="82"/>
        <v>-649668.89999999991</v>
      </c>
      <c r="J173" s="59">
        <f t="shared" si="82"/>
        <v>-687235.06666666653</v>
      </c>
      <c r="K173" s="59">
        <f t="shared" si="82"/>
        <v>-724801.23333333316</v>
      </c>
      <c r="L173" s="59">
        <f t="shared" si="82"/>
        <v>-770567.39999999979</v>
      </c>
      <c r="M173" s="59">
        <f t="shared" si="82"/>
        <v>-808133.56666666642</v>
      </c>
      <c r="N173" s="59">
        <f t="shared" si="82"/>
        <v>-845699.73333333305</v>
      </c>
      <c r="O173" s="60" t="s">
        <v>135</v>
      </c>
      <c r="P173" s="61">
        <f>N173</f>
        <v>-845699.73333333305</v>
      </c>
    </row>
    <row r="174" spans="2:16" x14ac:dyDescent="0.25">
      <c r="B174" s="205"/>
      <c r="C174" s="205"/>
      <c r="D174" s="205"/>
      <c r="E174" s="205"/>
      <c r="F174" s="205"/>
      <c r="G174" s="205"/>
      <c r="H174" s="205"/>
      <c r="I174" s="205"/>
      <c r="J174" s="205"/>
      <c r="K174" s="205"/>
      <c r="L174" s="205"/>
      <c r="M174" s="205"/>
      <c r="N174" s="205"/>
      <c r="O174" s="206"/>
      <c r="P174" s="207"/>
    </row>
    <row r="175" spans="2:16" x14ac:dyDescent="0.25">
      <c r="B175" s="205"/>
      <c r="C175" s="205"/>
      <c r="D175" s="205"/>
      <c r="E175" s="205"/>
      <c r="F175" s="205"/>
      <c r="G175" s="205"/>
      <c r="H175" s="205"/>
      <c r="I175" s="205"/>
      <c r="J175" s="205"/>
      <c r="K175" s="205"/>
      <c r="L175" s="205"/>
      <c r="M175" s="205"/>
      <c r="N175" s="205"/>
      <c r="O175" s="206"/>
      <c r="P175" s="207"/>
    </row>
    <row r="177" spans="2:20" ht="15" customHeight="1" x14ac:dyDescent="0.45">
      <c r="B177" s="212" t="s">
        <v>136</v>
      </c>
      <c r="C177" s="212"/>
      <c r="D177" s="212"/>
      <c r="E177" s="212"/>
      <c r="F177" s="212"/>
      <c r="G177" s="212"/>
      <c r="H177" s="212"/>
      <c r="I177" s="212"/>
      <c r="J177" s="212"/>
      <c r="K177" s="212"/>
      <c r="L177" s="212"/>
      <c r="M177" s="212"/>
      <c r="N177" s="212"/>
      <c r="O177" s="212"/>
      <c r="P177" s="212"/>
    </row>
    <row r="179" spans="2:20" x14ac:dyDescent="0.25">
      <c r="B179" s="218" t="s">
        <v>153</v>
      </c>
      <c r="C179" s="218"/>
      <c r="D179" s="218"/>
      <c r="E179" s="218"/>
      <c r="F179" s="218"/>
      <c r="G179" s="218"/>
      <c r="H179" s="218"/>
      <c r="I179" s="218"/>
      <c r="J179" s="218"/>
      <c r="K179" s="218"/>
      <c r="L179" s="218"/>
      <c r="M179" s="218"/>
      <c r="N179" s="218"/>
      <c r="O179" s="218"/>
      <c r="P179" s="218"/>
    </row>
    <row r="180" spans="2:20" x14ac:dyDescent="0.25">
      <c r="B180" s="213"/>
      <c r="C180" s="215" t="s">
        <v>50</v>
      </c>
      <c r="D180" s="215" t="s">
        <v>51</v>
      </c>
      <c r="E180" s="215" t="s">
        <v>52</v>
      </c>
      <c r="F180" s="215" t="s">
        <v>53</v>
      </c>
      <c r="G180" s="215" t="s">
        <v>54</v>
      </c>
      <c r="H180" s="215" t="s">
        <v>55</v>
      </c>
      <c r="I180" s="215" t="s">
        <v>56</v>
      </c>
      <c r="J180" s="215" t="s">
        <v>57</v>
      </c>
      <c r="K180" s="215" t="s">
        <v>58</v>
      </c>
      <c r="L180" s="215" t="s">
        <v>59</v>
      </c>
      <c r="M180" s="215" t="s">
        <v>60</v>
      </c>
      <c r="N180" s="215" t="s">
        <v>61</v>
      </c>
      <c r="O180" s="220" t="s">
        <v>62</v>
      </c>
      <c r="P180" s="221"/>
      <c r="S180" s="228" t="s">
        <v>154</v>
      </c>
      <c r="T180" s="229"/>
    </row>
    <row r="181" spans="2:20" x14ac:dyDescent="0.25">
      <c r="B181" s="214"/>
      <c r="C181" s="216"/>
      <c r="D181" s="216"/>
      <c r="E181" s="216"/>
      <c r="F181" s="216"/>
      <c r="G181" s="216"/>
      <c r="H181" s="216"/>
      <c r="I181" s="216"/>
      <c r="J181" s="216"/>
      <c r="K181" s="216"/>
      <c r="L181" s="216"/>
      <c r="M181" s="216"/>
      <c r="N181" s="216"/>
      <c r="O181" s="58" t="s">
        <v>64</v>
      </c>
      <c r="P181" s="58" t="s">
        <v>65</v>
      </c>
      <c r="S181" s="143" t="s">
        <v>1</v>
      </c>
      <c r="T181" s="21">
        <f>P182</f>
        <v>148526.00000000003</v>
      </c>
    </row>
    <row r="182" spans="2:20" x14ac:dyDescent="0.25">
      <c r="B182" s="35" t="s">
        <v>66</v>
      </c>
      <c r="C182" s="35">
        <f>$P$92*1.03/12</f>
        <v>12377.16666666667</v>
      </c>
      <c r="D182" s="35">
        <f t="shared" ref="D182:N182" si="83">$P$92*1.03/12</f>
        <v>12377.16666666667</v>
      </c>
      <c r="E182" s="35">
        <f t="shared" si="83"/>
        <v>12377.16666666667</v>
      </c>
      <c r="F182" s="35">
        <f t="shared" si="83"/>
        <v>12377.16666666667</v>
      </c>
      <c r="G182" s="35">
        <f t="shared" si="83"/>
        <v>12377.16666666667</v>
      </c>
      <c r="H182" s="35">
        <f t="shared" si="83"/>
        <v>12377.16666666667</v>
      </c>
      <c r="I182" s="35">
        <f t="shared" si="83"/>
        <v>12377.16666666667</v>
      </c>
      <c r="J182" s="35">
        <f t="shared" si="83"/>
        <v>12377.16666666667</v>
      </c>
      <c r="K182" s="35">
        <f t="shared" si="83"/>
        <v>12377.16666666667</v>
      </c>
      <c r="L182" s="35">
        <f t="shared" si="83"/>
        <v>12377.16666666667</v>
      </c>
      <c r="M182" s="35">
        <f t="shared" si="83"/>
        <v>12377.16666666667</v>
      </c>
      <c r="N182" s="35">
        <f t="shared" si="83"/>
        <v>12377.16666666667</v>
      </c>
      <c r="O182" s="60" t="s">
        <v>1</v>
      </c>
      <c r="P182" s="61">
        <f>SUM(C182:N182)</f>
        <v>148526.00000000003</v>
      </c>
      <c r="S182" s="143" t="s">
        <v>67</v>
      </c>
      <c r="T182" s="21">
        <v>0</v>
      </c>
    </row>
    <row r="183" spans="2:20" x14ac:dyDescent="0.25">
      <c r="B183" s="34" t="s">
        <v>68</v>
      </c>
      <c r="C183" s="34">
        <f>C182*20%</f>
        <v>2475.4333333333343</v>
      </c>
      <c r="D183" s="34">
        <f t="shared" ref="D183:N183" si="84">D182*20%</f>
        <v>2475.4333333333343</v>
      </c>
      <c r="E183" s="34">
        <f t="shared" si="84"/>
        <v>2475.4333333333343</v>
      </c>
      <c r="F183" s="34">
        <f t="shared" si="84"/>
        <v>2475.4333333333343</v>
      </c>
      <c r="G183" s="34">
        <f t="shared" si="84"/>
        <v>2475.4333333333343</v>
      </c>
      <c r="H183" s="34">
        <f t="shared" si="84"/>
        <v>2475.4333333333343</v>
      </c>
      <c r="I183" s="34">
        <f t="shared" si="84"/>
        <v>2475.4333333333343</v>
      </c>
      <c r="J183" s="34">
        <f t="shared" si="84"/>
        <v>2475.4333333333343</v>
      </c>
      <c r="K183" s="34">
        <f t="shared" si="84"/>
        <v>2475.4333333333343</v>
      </c>
      <c r="L183" s="34">
        <f t="shared" si="84"/>
        <v>2475.4333333333343</v>
      </c>
      <c r="M183" s="34">
        <f t="shared" si="84"/>
        <v>2475.4333333333343</v>
      </c>
      <c r="N183" s="34">
        <f t="shared" si="84"/>
        <v>2475.4333333333343</v>
      </c>
      <c r="O183" s="34"/>
      <c r="P183" s="34"/>
      <c r="S183" s="144" t="s">
        <v>10</v>
      </c>
      <c r="T183" s="131">
        <f>T181+T182</f>
        <v>148526.00000000003</v>
      </c>
    </row>
    <row r="184" spans="2:20" x14ac:dyDescent="0.25">
      <c r="B184" s="34" t="s">
        <v>69</v>
      </c>
      <c r="C184" s="34">
        <f>C182+C183</f>
        <v>14852.600000000004</v>
      </c>
      <c r="D184" s="34">
        <f t="shared" ref="D184:N184" si="85">D182+D183</f>
        <v>14852.600000000004</v>
      </c>
      <c r="E184" s="34">
        <f t="shared" si="85"/>
        <v>14852.600000000004</v>
      </c>
      <c r="F184" s="34">
        <f t="shared" si="85"/>
        <v>14852.600000000004</v>
      </c>
      <c r="G184" s="34">
        <f t="shared" si="85"/>
        <v>14852.600000000004</v>
      </c>
      <c r="H184" s="34">
        <f t="shared" si="85"/>
        <v>14852.600000000004</v>
      </c>
      <c r="I184" s="34">
        <f t="shared" si="85"/>
        <v>14852.600000000004</v>
      </c>
      <c r="J184" s="34">
        <f t="shared" si="85"/>
        <v>14852.600000000004</v>
      </c>
      <c r="K184" s="34">
        <f t="shared" si="85"/>
        <v>14852.600000000004</v>
      </c>
      <c r="L184" s="34">
        <f t="shared" si="85"/>
        <v>14852.600000000004</v>
      </c>
      <c r="M184" s="34">
        <f t="shared" si="85"/>
        <v>14852.600000000004</v>
      </c>
      <c r="N184" s="34">
        <f t="shared" si="85"/>
        <v>14852.600000000004</v>
      </c>
      <c r="O184" s="34"/>
      <c r="P184" s="34"/>
      <c r="S184" s="143" t="s">
        <v>70</v>
      </c>
      <c r="T184" s="21">
        <f>P191</f>
        <v>50498.84</v>
      </c>
    </row>
    <row r="185" spans="2:20" x14ac:dyDescent="0.25">
      <c r="B185" s="59" t="s">
        <v>139</v>
      </c>
      <c r="C185" s="59">
        <f>V122</f>
        <v>14420.000000000004</v>
      </c>
      <c r="D185" s="59">
        <f>C184</f>
        <v>14852.600000000004</v>
      </c>
      <c r="E185" s="59">
        <f>D184</f>
        <v>14852.600000000004</v>
      </c>
      <c r="F185" s="59">
        <f>E184</f>
        <v>14852.600000000004</v>
      </c>
      <c r="G185" s="59">
        <f>F184</f>
        <v>14852.600000000004</v>
      </c>
      <c r="H185" s="59">
        <f>G184</f>
        <v>14852.600000000004</v>
      </c>
      <c r="I185" s="59">
        <f t="shared" ref="I185:N185" si="86">H184</f>
        <v>14852.600000000004</v>
      </c>
      <c r="J185" s="59">
        <f t="shared" si="86"/>
        <v>14852.600000000004</v>
      </c>
      <c r="K185" s="59">
        <f t="shared" si="86"/>
        <v>14852.600000000004</v>
      </c>
      <c r="L185" s="59">
        <f t="shared" si="86"/>
        <v>14852.600000000004</v>
      </c>
      <c r="M185" s="59">
        <f t="shared" si="86"/>
        <v>14852.600000000004</v>
      </c>
      <c r="N185" s="59">
        <f t="shared" si="86"/>
        <v>14852.600000000004</v>
      </c>
      <c r="O185" s="60" t="s">
        <v>72</v>
      </c>
      <c r="P185" s="61">
        <f>N184</f>
        <v>14852.600000000004</v>
      </c>
      <c r="S185" s="143" t="s">
        <v>73</v>
      </c>
      <c r="T185" s="21">
        <f>P200</f>
        <v>85200</v>
      </c>
    </row>
    <row r="186" spans="2:20" x14ac:dyDescent="0.25">
      <c r="S186" s="143" t="s">
        <v>18</v>
      </c>
      <c r="T186" s="21">
        <f>P218</f>
        <v>8200</v>
      </c>
    </row>
    <row r="187" spans="2:20" x14ac:dyDescent="0.25">
      <c r="S187" s="143" t="s">
        <v>20</v>
      </c>
      <c r="T187" s="21">
        <f>P210</f>
        <v>307500</v>
      </c>
    </row>
    <row r="188" spans="2:20" x14ac:dyDescent="0.25">
      <c r="B188" s="230" t="s">
        <v>155</v>
      </c>
      <c r="C188" s="230"/>
      <c r="D188" s="230"/>
      <c r="E188" s="230"/>
      <c r="F188" s="230"/>
      <c r="G188" s="230"/>
      <c r="H188" s="230"/>
      <c r="I188" s="230"/>
      <c r="J188" s="230"/>
      <c r="K188" s="230"/>
      <c r="L188" s="230"/>
      <c r="M188" s="230"/>
      <c r="N188" s="230"/>
      <c r="O188" s="230"/>
      <c r="P188" s="230"/>
      <c r="S188" s="143" t="s">
        <v>21</v>
      </c>
      <c r="T188" s="21">
        <f>P211</f>
        <v>123000</v>
      </c>
    </row>
    <row r="189" spans="2:20" x14ac:dyDescent="0.25">
      <c r="B189" s="213"/>
      <c r="C189" s="215" t="s">
        <v>50</v>
      </c>
      <c r="D189" s="215" t="s">
        <v>51</v>
      </c>
      <c r="E189" s="215" t="s">
        <v>52</v>
      </c>
      <c r="F189" s="215" t="s">
        <v>53</v>
      </c>
      <c r="G189" s="215" t="s">
        <v>54</v>
      </c>
      <c r="H189" s="215" t="s">
        <v>55</v>
      </c>
      <c r="I189" s="215" t="s">
        <v>56</v>
      </c>
      <c r="J189" s="215" t="s">
        <v>57</v>
      </c>
      <c r="K189" s="215" t="s">
        <v>58</v>
      </c>
      <c r="L189" s="215" t="s">
        <v>59</v>
      </c>
      <c r="M189" s="215" t="s">
        <v>60</v>
      </c>
      <c r="N189" s="215" t="s">
        <v>61</v>
      </c>
      <c r="O189" s="220" t="s">
        <v>62</v>
      </c>
      <c r="P189" s="221"/>
      <c r="S189" s="143" t="s">
        <v>75</v>
      </c>
      <c r="T189" s="21">
        <f>P208</f>
        <v>15614.285714285714</v>
      </c>
    </row>
    <row r="190" spans="2:20" x14ac:dyDescent="0.25">
      <c r="B190" s="214"/>
      <c r="C190" s="216"/>
      <c r="D190" s="216"/>
      <c r="E190" s="216"/>
      <c r="F190" s="216"/>
      <c r="G190" s="216"/>
      <c r="H190" s="216"/>
      <c r="I190" s="216"/>
      <c r="J190" s="216"/>
      <c r="K190" s="216"/>
      <c r="L190" s="216"/>
      <c r="M190" s="216"/>
      <c r="N190" s="216"/>
      <c r="O190" s="58" t="s">
        <v>64</v>
      </c>
      <c r="P190" s="58" t="s">
        <v>65</v>
      </c>
      <c r="S190" s="144" t="s">
        <v>76</v>
      </c>
      <c r="T190" s="131">
        <f>SUM(T184:T189)</f>
        <v>590013.12571428565</v>
      </c>
    </row>
    <row r="191" spans="2:20" x14ac:dyDescent="0.25">
      <c r="B191" s="35" t="s">
        <v>77</v>
      </c>
      <c r="C191" s="35">
        <f>C182*34%</f>
        <v>4208.2366666666676</v>
      </c>
      <c r="D191" s="35">
        <f t="shared" ref="D191:N191" si="87">D182*34%</f>
        <v>4208.2366666666676</v>
      </c>
      <c r="E191" s="35">
        <f t="shared" si="87"/>
        <v>4208.2366666666676</v>
      </c>
      <c r="F191" s="35">
        <f t="shared" si="87"/>
        <v>4208.2366666666676</v>
      </c>
      <c r="G191" s="35">
        <f t="shared" si="87"/>
        <v>4208.2366666666676</v>
      </c>
      <c r="H191" s="35">
        <f t="shared" si="87"/>
        <v>4208.2366666666676</v>
      </c>
      <c r="I191" s="35">
        <f t="shared" si="87"/>
        <v>4208.2366666666676</v>
      </c>
      <c r="J191" s="35">
        <f t="shared" si="87"/>
        <v>4208.2366666666676</v>
      </c>
      <c r="K191" s="35">
        <f t="shared" si="87"/>
        <v>4208.2366666666676</v>
      </c>
      <c r="L191" s="35">
        <f t="shared" si="87"/>
        <v>4208.2366666666676</v>
      </c>
      <c r="M191" s="35">
        <f t="shared" si="87"/>
        <v>4208.2366666666676</v>
      </c>
      <c r="N191" s="35">
        <f t="shared" si="87"/>
        <v>4208.2366666666676</v>
      </c>
      <c r="O191" s="60" t="s">
        <v>78</v>
      </c>
      <c r="P191" s="61">
        <f>SUM(C191:N191)</f>
        <v>50498.84</v>
      </c>
      <c r="S191" s="154" t="s">
        <v>30</v>
      </c>
      <c r="T191" s="155">
        <f>T183-T190</f>
        <v>-441487.12571428565</v>
      </c>
    </row>
    <row r="192" spans="2:20" x14ac:dyDescent="0.25">
      <c r="B192" s="34" t="s">
        <v>79</v>
      </c>
      <c r="C192" s="34">
        <f>C191*20%</f>
        <v>841.64733333333356</v>
      </c>
      <c r="D192" s="34">
        <f t="shared" ref="D192:N192" si="88">D191*20%</f>
        <v>841.64733333333356</v>
      </c>
      <c r="E192" s="34">
        <f t="shared" si="88"/>
        <v>841.64733333333356</v>
      </c>
      <c r="F192" s="34">
        <f t="shared" si="88"/>
        <v>841.64733333333356</v>
      </c>
      <c r="G192" s="34">
        <f t="shared" si="88"/>
        <v>841.64733333333356</v>
      </c>
      <c r="H192" s="34">
        <f t="shared" si="88"/>
        <v>841.64733333333356</v>
      </c>
      <c r="I192" s="34">
        <f t="shared" si="88"/>
        <v>841.64733333333356</v>
      </c>
      <c r="J192" s="34">
        <f t="shared" si="88"/>
        <v>841.64733333333356</v>
      </c>
      <c r="K192" s="34">
        <f t="shared" si="88"/>
        <v>841.64733333333356</v>
      </c>
      <c r="L192" s="34">
        <f t="shared" si="88"/>
        <v>841.64733333333356</v>
      </c>
      <c r="M192" s="34">
        <f t="shared" si="88"/>
        <v>841.64733333333356</v>
      </c>
      <c r="N192" s="34">
        <f t="shared" si="88"/>
        <v>841.64733333333356</v>
      </c>
      <c r="O192" s="34"/>
      <c r="P192" s="34"/>
      <c r="S192" s="144" t="s">
        <v>33</v>
      </c>
      <c r="T192" s="131">
        <v>0</v>
      </c>
    </row>
    <row r="193" spans="2:24" x14ac:dyDescent="0.25">
      <c r="B193" s="34" t="s">
        <v>80</v>
      </c>
      <c r="C193" s="34">
        <f>C191+C192</f>
        <v>5049.8840000000009</v>
      </c>
      <c r="D193" s="34">
        <f t="shared" ref="D193:N193" si="89">D191+D192</f>
        <v>5049.8840000000009</v>
      </c>
      <c r="E193" s="34">
        <f t="shared" si="89"/>
        <v>5049.8840000000009</v>
      </c>
      <c r="F193" s="34">
        <f t="shared" si="89"/>
        <v>5049.8840000000009</v>
      </c>
      <c r="G193" s="34">
        <f t="shared" si="89"/>
        <v>5049.8840000000009</v>
      </c>
      <c r="H193" s="34">
        <f t="shared" si="89"/>
        <v>5049.8840000000009</v>
      </c>
      <c r="I193" s="34">
        <f t="shared" si="89"/>
        <v>5049.8840000000009</v>
      </c>
      <c r="J193" s="34">
        <f t="shared" si="89"/>
        <v>5049.8840000000009</v>
      </c>
      <c r="K193" s="34">
        <f t="shared" si="89"/>
        <v>5049.8840000000009</v>
      </c>
      <c r="L193" s="34">
        <f t="shared" si="89"/>
        <v>5049.8840000000009</v>
      </c>
      <c r="M193" s="34">
        <f t="shared" si="89"/>
        <v>5049.8840000000009</v>
      </c>
      <c r="N193" s="34">
        <f t="shared" si="89"/>
        <v>5049.8840000000009</v>
      </c>
      <c r="O193" s="34"/>
      <c r="P193" s="34"/>
      <c r="S193" s="143" t="s">
        <v>36</v>
      </c>
      <c r="T193" s="21">
        <f>P220</f>
        <v>2100</v>
      </c>
    </row>
    <row r="194" spans="2:24" x14ac:dyDescent="0.25">
      <c r="B194" s="59" t="s">
        <v>81</v>
      </c>
      <c r="C194" s="59">
        <f>C193</f>
        <v>5049.8840000000009</v>
      </c>
      <c r="D194" s="59">
        <f>D193</f>
        <v>5049.8840000000009</v>
      </c>
      <c r="E194" s="59">
        <f t="shared" ref="E194:N194" si="90">E193</f>
        <v>5049.8840000000009</v>
      </c>
      <c r="F194" s="59">
        <f t="shared" si="90"/>
        <v>5049.8840000000009</v>
      </c>
      <c r="G194" s="59">
        <f t="shared" si="90"/>
        <v>5049.8840000000009</v>
      </c>
      <c r="H194" s="59">
        <f t="shared" si="90"/>
        <v>5049.8840000000009</v>
      </c>
      <c r="I194" s="59">
        <f t="shared" si="90"/>
        <v>5049.8840000000009</v>
      </c>
      <c r="J194" s="59">
        <f t="shared" si="90"/>
        <v>5049.8840000000009</v>
      </c>
      <c r="K194" s="59">
        <f t="shared" si="90"/>
        <v>5049.8840000000009</v>
      </c>
      <c r="L194" s="59">
        <f t="shared" si="90"/>
        <v>5049.8840000000009</v>
      </c>
      <c r="M194" s="59">
        <f t="shared" si="90"/>
        <v>5049.8840000000009</v>
      </c>
      <c r="N194" s="59">
        <f t="shared" si="90"/>
        <v>5049.8840000000009</v>
      </c>
      <c r="O194" s="60" t="s">
        <v>82</v>
      </c>
      <c r="P194" s="61">
        <v>0</v>
      </c>
      <c r="S194" s="144" t="s">
        <v>37</v>
      </c>
      <c r="T194" s="131">
        <f>T193</f>
        <v>2100</v>
      </c>
    </row>
    <row r="195" spans="2:24" x14ac:dyDescent="0.25">
      <c r="S195" s="154" t="s">
        <v>40</v>
      </c>
      <c r="T195" s="155">
        <f>T192-T194</f>
        <v>-2100</v>
      </c>
    </row>
    <row r="196" spans="2:24" x14ac:dyDescent="0.25">
      <c r="S196" s="154" t="s">
        <v>43</v>
      </c>
      <c r="T196" s="155">
        <f>T191-(-T195)</f>
        <v>-443587.12571428565</v>
      </c>
    </row>
    <row r="197" spans="2:24" x14ac:dyDescent="0.25">
      <c r="B197" s="230" t="s">
        <v>156</v>
      </c>
      <c r="C197" s="230"/>
      <c r="D197" s="230"/>
      <c r="E197" s="230"/>
      <c r="F197" s="230"/>
      <c r="G197" s="230"/>
      <c r="H197" s="230"/>
      <c r="I197" s="230"/>
      <c r="J197" s="230"/>
      <c r="K197" s="230"/>
      <c r="L197" s="230"/>
      <c r="M197" s="230"/>
      <c r="N197" s="230"/>
      <c r="O197" s="230"/>
      <c r="P197" s="230"/>
      <c r="S197" s="154" t="s">
        <v>45</v>
      </c>
      <c r="T197" s="21"/>
    </row>
    <row r="198" spans="2:24" x14ac:dyDescent="0.25">
      <c r="B198" s="213"/>
      <c r="C198" s="215" t="s">
        <v>50</v>
      </c>
      <c r="D198" s="215" t="s">
        <v>51</v>
      </c>
      <c r="E198" s="215" t="s">
        <v>52</v>
      </c>
      <c r="F198" s="215" t="s">
        <v>53</v>
      </c>
      <c r="G198" s="215" t="s">
        <v>54</v>
      </c>
      <c r="H198" s="215" t="s">
        <v>55</v>
      </c>
      <c r="I198" s="215" t="s">
        <v>56</v>
      </c>
      <c r="J198" s="215" t="s">
        <v>57</v>
      </c>
      <c r="K198" s="215" t="s">
        <v>58</v>
      </c>
      <c r="L198" s="215" t="s">
        <v>59</v>
      </c>
      <c r="M198" s="215" t="s">
        <v>60</v>
      </c>
      <c r="N198" s="215" t="s">
        <v>61</v>
      </c>
      <c r="O198" s="220" t="s">
        <v>62</v>
      </c>
      <c r="P198" s="221"/>
      <c r="S198" s="182" t="s">
        <v>47</v>
      </c>
      <c r="T198" s="183">
        <f>T196</f>
        <v>-443587.12571428565</v>
      </c>
    </row>
    <row r="199" spans="2:24" x14ac:dyDescent="0.25">
      <c r="B199" s="231"/>
      <c r="C199" s="232"/>
      <c r="D199" s="232"/>
      <c r="E199" s="232"/>
      <c r="F199" s="232"/>
      <c r="G199" s="232"/>
      <c r="H199" s="232"/>
      <c r="I199" s="232"/>
      <c r="J199" s="232"/>
      <c r="K199" s="232"/>
      <c r="L199" s="232"/>
      <c r="M199" s="232"/>
      <c r="N199" s="232"/>
      <c r="O199" s="58" t="s">
        <v>64</v>
      </c>
      <c r="P199" s="58" t="s">
        <v>65</v>
      </c>
    </row>
    <row r="200" spans="2:24" x14ac:dyDescent="0.25">
      <c r="B200" s="21" t="s">
        <v>84</v>
      </c>
      <c r="C200" s="21">
        <v>7100</v>
      </c>
      <c r="D200" s="21">
        <v>7100</v>
      </c>
      <c r="E200" s="21">
        <v>7100</v>
      </c>
      <c r="F200" s="21">
        <v>7100</v>
      </c>
      <c r="G200" s="21">
        <v>7100</v>
      </c>
      <c r="H200" s="21">
        <v>7100</v>
      </c>
      <c r="I200" s="21">
        <v>7100</v>
      </c>
      <c r="J200" s="21">
        <v>7100</v>
      </c>
      <c r="K200" s="21">
        <v>7100</v>
      </c>
      <c r="L200" s="21">
        <v>7100</v>
      </c>
      <c r="M200" s="21">
        <v>7100</v>
      </c>
      <c r="N200" s="22">
        <v>7100</v>
      </c>
      <c r="O200" s="60" t="s">
        <v>85</v>
      </c>
      <c r="P200" s="61">
        <f>SUM(C200:N200)</f>
        <v>85200</v>
      </c>
    </row>
    <row r="201" spans="2:24" x14ac:dyDescent="0.25">
      <c r="B201" s="21" t="s">
        <v>86</v>
      </c>
      <c r="C201" s="21">
        <f>C200*20%</f>
        <v>1420</v>
      </c>
      <c r="D201" s="21">
        <f t="shared" ref="D201:N201" si="91">D200*20%</f>
        <v>1420</v>
      </c>
      <c r="E201" s="21">
        <f t="shared" si="91"/>
        <v>1420</v>
      </c>
      <c r="F201" s="21">
        <f t="shared" si="91"/>
        <v>1420</v>
      </c>
      <c r="G201" s="21">
        <f t="shared" si="91"/>
        <v>1420</v>
      </c>
      <c r="H201" s="21">
        <f t="shared" si="91"/>
        <v>1420</v>
      </c>
      <c r="I201" s="21">
        <f t="shared" si="91"/>
        <v>1420</v>
      </c>
      <c r="J201" s="21">
        <f t="shared" si="91"/>
        <v>1420</v>
      </c>
      <c r="K201" s="21">
        <f t="shared" si="91"/>
        <v>1420</v>
      </c>
      <c r="L201" s="21">
        <f t="shared" si="91"/>
        <v>1420</v>
      </c>
      <c r="M201" s="21">
        <f t="shared" si="91"/>
        <v>1420</v>
      </c>
      <c r="N201" s="22">
        <f t="shared" si="91"/>
        <v>1420</v>
      </c>
      <c r="O201" s="47"/>
      <c r="P201" s="48"/>
    </row>
    <row r="202" spans="2:24" x14ac:dyDescent="0.25">
      <c r="B202" s="23" t="s">
        <v>87</v>
      </c>
      <c r="C202" s="23">
        <f>C200+C201</f>
        <v>8520</v>
      </c>
      <c r="D202" s="23">
        <f t="shared" ref="D202:N202" si="92">D200+D201</f>
        <v>8520</v>
      </c>
      <c r="E202" s="23">
        <f t="shared" si="92"/>
        <v>8520</v>
      </c>
      <c r="F202" s="23">
        <f t="shared" si="92"/>
        <v>8520</v>
      </c>
      <c r="G202" s="23">
        <f t="shared" si="92"/>
        <v>8520</v>
      </c>
      <c r="H202" s="23">
        <f t="shared" si="92"/>
        <v>8520</v>
      </c>
      <c r="I202" s="23">
        <f t="shared" si="92"/>
        <v>8520</v>
      </c>
      <c r="J202" s="23">
        <f t="shared" si="92"/>
        <v>8520</v>
      </c>
      <c r="K202" s="23">
        <f t="shared" si="92"/>
        <v>8520</v>
      </c>
      <c r="L202" s="23">
        <f t="shared" si="92"/>
        <v>8520</v>
      </c>
      <c r="M202" s="23">
        <f t="shared" si="92"/>
        <v>8520</v>
      </c>
      <c r="N202" s="25">
        <f t="shared" si="92"/>
        <v>8520</v>
      </c>
      <c r="O202" s="34"/>
      <c r="P202" s="34"/>
    </row>
    <row r="203" spans="2:24" x14ac:dyDescent="0.25">
      <c r="B203" s="59" t="s">
        <v>81</v>
      </c>
      <c r="C203" s="59">
        <f>+C200+C201</f>
        <v>8520</v>
      </c>
      <c r="D203" s="59">
        <f t="shared" ref="D203:N203" si="93">+D200+D201</f>
        <v>8520</v>
      </c>
      <c r="E203" s="59">
        <f t="shared" si="93"/>
        <v>8520</v>
      </c>
      <c r="F203" s="59">
        <f t="shared" si="93"/>
        <v>8520</v>
      </c>
      <c r="G203" s="59">
        <f t="shared" si="93"/>
        <v>8520</v>
      </c>
      <c r="H203" s="59">
        <f t="shared" si="93"/>
        <v>8520</v>
      </c>
      <c r="I203" s="59">
        <f t="shared" si="93"/>
        <v>8520</v>
      </c>
      <c r="J203" s="59">
        <f t="shared" si="93"/>
        <v>8520</v>
      </c>
      <c r="K203" s="59">
        <f t="shared" si="93"/>
        <v>8520</v>
      </c>
      <c r="L203" s="59">
        <f t="shared" si="93"/>
        <v>8520</v>
      </c>
      <c r="M203" s="59">
        <f t="shared" si="93"/>
        <v>8520</v>
      </c>
      <c r="N203" s="59">
        <f t="shared" si="93"/>
        <v>8520</v>
      </c>
      <c r="O203" s="47"/>
      <c r="P203" s="34"/>
      <c r="S203" s="228" t="s">
        <v>157</v>
      </c>
      <c r="T203" s="233"/>
      <c r="U203" s="233"/>
      <c r="V203" s="233"/>
      <c r="W203" s="233"/>
      <c r="X203" s="229"/>
    </row>
    <row r="204" spans="2:24" ht="30" x14ac:dyDescent="0.25">
      <c r="B204" s="28" t="s">
        <v>89</v>
      </c>
      <c r="C204" s="21"/>
      <c r="D204" s="21"/>
      <c r="E204" s="21"/>
      <c r="F204" s="21"/>
      <c r="G204" s="21"/>
      <c r="H204" s="21"/>
      <c r="I204" s="21"/>
      <c r="J204" s="21"/>
      <c r="K204" s="21"/>
      <c r="L204" s="21"/>
      <c r="M204" s="21"/>
      <c r="N204" s="22">
        <v>7500</v>
      </c>
      <c r="O204" s="47"/>
      <c r="P204" s="48"/>
      <c r="S204" s="144" t="s">
        <v>2</v>
      </c>
      <c r="T204" s="145" t="s">
        <v>3</v>
      </c>
      <c r="U204" s="145" t="s">
        <v>4</v>
      </c>
      <c r="V204" s="145" t="s">
        <v>5</v>
      </c>
      <c r="W204" s="146" t="s">
        <v>6</v>
      </c>
      <c r="X204" s="147" t="s">
        <v>5</v>
      </c>
    </row>
    <row r="205" spans="2:24" x14ac:dyDescent="0.25">
      <c r="B205" s="26" t="s">
        <v>144</v>
      </c>
      <c r="C205" s="27"/>
      <c r="D205" s="21"/>
      <c r="E205" s="21"/>
      <c r="F205" s="21"/>
      <c r="G205" s="21"/>
      <c r="H205" s="21"/>
      <c r="I205" s="21"/>
      <c r="J205" s="21"/>
      <c r="K205" s="21"/>
      <c r="L205" s="21"/>
      <c r="M205" s="21"/>
      <c r="N205" s="22">
        <f>Emprunt!K6</f>
        <v>3214.2857142857142</v>
      </c>
      <c r="O205" s="60" t="s">
        <v>90</v>
      </c>
      <c r="P205" s="61">
        <f>N205</f>
        <v>3214.2857142857142</v>
      </c>
      <c r="S205" s="148" t="s">
        <v>8</v>
      </c>
      <c r="T205" s="148">
        <f>SUM(T206:T209)</f>
        <v>275900</v>
      </c>
      <c r="U205" s="148">
        <f>SUM(U206:U207)</f>
        <v>54634.523809523816</v>
      </c>
      <c r="V205" s="148">
        <f>SUM(V206:V207)</f>
        <v>221265.47619047618</v>
      </c>
      <c r="W205" s="148" t="s">
        <v>9</v>
      </c>
      <c r="X205" s="149">
        <f>SUM(X206:X209)</f>
        <v>-1247373.3638095236</v>
      </c>
    </row>
    <row r="206" spans="2:24" x14ac:dyDescent="0.25">
      <c r="B206" s="30" t="s">
        <v>145</v>
      </c>
      <c r="C206" s="31"/>
      <c r="D206" s="31"/>
      <c r="E206" s="31"/>
      <c r="F206" s="31"/>
      <c r="G206" s="31"/>
      <c r="H206" s="31"/>
      <c r="I206" s="31"/>
      <c r="J206" s="31"/>
      <c r="K206" s="31"/>
      <c r="L206" s="31"/>
      <c r="M206" s="31"/>
      <c r="N206" s="32">
        <f>Emprunt!K15</f>
        <v>1700</v>
      </c>
      <c r="O206" s="60" t="s">
        <v>90</v>
      </c>
      <c r="P206" s="61">
        <f t="shared" ref="P206:P207" si="94">N206</f>
        <v>1700</v>
      </c>
      <c r="S206" s="150" t="s">
        <v>11</v>
      </c>
      <c r="T206" s="150">
        <f>T115</f>
        <v>176000</v>
      </c>
      <c r="U206" s="150">
        <f>U115+AB31+N206</f>
        <v>11191.666666666666</v>
      </c>
      <c r="V206" s="150">
        <f>T206-U206</f>
        <v>164808.33333333334</v>
      </c>
      <c r="W206" s="150" t="s">
        <v>12</v>
      </c>
      <c r="X206" s="151">
        <v>50000</v>
      </c>
    </row>
    <row r="207" spans="2:24" x14ac:dyDescent="0.25">
      <c r="B207" s="24" t="s">
        <v>158</v>
      </c>
      <c r="C207" s="21"/>
      <c r="D207" s="21"/>
      <c r="E207" s="21"/>
      <c r="F207" s="21"/>
      <c r="G207" s="21"/>
      <c r="H207" s="21"/>
      <c r="I207" s="21"/>
      <c r="J207" s="21"/>
      <c r="K207" s="21"/>
      <c r="L207" s="21"/>
      <c r="M207" s="21"/>
      <c r="N207" s="32">
        <f>Emprunt!K28</f>
        <v>3200</v>
      </c>
      <c r="O207" s="60" t="s">
        <v>90</v>
      </c>
      <c r="P207" s="61">
        <f t="shared" si="94"/>
        <v>3200</v>
      </c>
      <c r="S207" s="150" t="s">
        <v>14</v>
      </c>
      <c r="T207" s="150">
        <f>T116+P228</f>
        <v>99900</v>
      </c>
      <c r="U207" s="150">
        <f>U116+AA30+N205+N207</f>
        <v>43442.857142857152</v>
      </c>
      <c r="V207" s="150">
        <f>T207-U207</f>
        <v>56457.142857142848</v>
      </c>
      <c r="W207" s="150" t="s">
        <v>15</v>
      </c>
      <c r="X207" s="151">
        <v>5000</v>
      </c>
    </row>
    <row r="208" spans="2:24" ht="30" x14ac:dyDescent="0.25">
      <c r="B208" s="59" t="s">
        <v>94</v>
      </c>
      <c r="C208" s="59">
        <f>C204+C205</f>
        <v>0</v>
      </c>
      <c r="D208" s="59">
        <f t="shared" ref="D208:M208" si="95">D204+D205</f>
        <v>0</v>
      </c>
      <c r="E208" s="59">
        <f t="shared" si="95"/>
        <v>0</v>
      </c>
      <c r="F208" s="59">
        <f t="shared" si="95"/>
        <v>0</v>
      </c>
      <c r="G208" s="59">
        <f t="shared" si="95"/>
        <v>0</v>
      </c>
      <c r="H208" s="59">
        <f t="shared" si="95"/>
        <v>0</v>
      </c>
      <c r="I208" s="59">
        <f t="shared" si="95"/>
        <v>0</v>
      </c>
      <c r="J208" s="59">
        <f t="shared" si="95"/>
        <v>0</v>
      </c>
      <c r="K208" s="59">
        <f t="shared" si="95"/>
        <v>0</v>
      </c>
      <c r="L208" s="59">
        <f t="shared" si="95"/>
        <v>0</v>
      </c>
      <c r="M208" s="59">
        <f t="shared" si="95"/>
        <v>0</v>
      </c>
      <c r="N208" s="59">
        <f>N204+N205+N206+N207</f>
        <v>15614.285714285714</v>
      </c>
      <c r="O208" s="60" t="s">
        <v>93</v>
      </c>
      <c r="P208" s="61">
        <f>SUM(C208:N208)</f>
        <v>15614.285714285714</v>
      </c>
      <c r="S208" s="148"/>
      <c r="T208" s="148"/>
      <c r="U208" s="148"/>
      <c r="V208" s="148"/>
      <c r="W208" s="150" t="s">
        <v>17</v>
      </c>
      <c r="X208" s="151">
        <f>X117+X118</f>
        <v>-858786.23809523811</v>
      </c>
    </row>
    <row r="209" spans="2:24" x14ac:dyDescent="0.25">
      <c r="B209" s="21" t="s">
        <v>95</v>
      </c>
      <c r="C209" s="21">
        <f t="shared" ref="C209:N209" si="96">307500/12</f>
        <v>25625</v>
      </c>
      <c r="D209" s="21">
        <f t="shared" si="96"/>
        <v>25625</v>
      </c>
      <c r="E209" s="21">
        <f t="shared" si="96"/>
        <v>25625</v>
      </c>
      <c r="F209" s="21">
        <f t="shared" si="96"/>
        <v>25625</v>
      </c>
      <c r="G209" s="21">
        <f t="shared" si="96"/>
        <v>25625</v>
      </c>
      <c r="H209" s="21">
        <f t="shared" si="96"/>
        <v>25625</v>
      </c>
      <c r="I209" s="21">
        <f t="shared" si="96"/>
        <v>25625</v>
      </c>
      <c r="J209" s="21">
        <f t="shared" si="96"/>
        <v>25625</v>
      </c>
      <c r="K209" s="21">
        <f t="shared" si="96"/>
        <v>25625</v>
      </c>
      <c r="L209" s="21">
        <f t="shared" si="96"/>
        <v>25625</v>
      </c>
      <c r="M209" s="21">
        <f t="shared" si="96"/>
        <v>25625</v>
      </c>
      <c r="N209" s="22">
        <f t="shared" si="96"/>
        <v>25625</v>
      </c>
      <c r="O209" s="47"/>
      <c r="P209" s="48"/>
      <c r="S209" s="150"/>
      <c r="T209" s="150"/>
      <c r="U209" s="150"/>
      <c r="V209" s="150"/>
      <c r="W209" s="150" t="s">
        <v>19</v>
      </c>
      <c r="X209" s="151">
        <f>T198</f>
        <v>-443587.12571428565</v>
      </c>
    </row>
    <row r="210" spans="2:24" x14ac:dyDescent="0.25">
      <c r="B210" s="59" t="s">
        <v>96</v>
      </c>
      <c r="C210" s="59">
        <f t="shared" ref="C210:N210" si="97">C209</f>
        <v>25625</v>
      </c>
      <c r="D210" s="59">
        <f t="shared" si="97"/>
        <v>25625</v>
      </c>
      <c r="E210" s="59">
        <f t="shared" si="97"/>
        <v>25625</v>
      </c>
      <c r="F210" s="59">
        <f t="shared" si="97"/>
        <v>25625</v>
      </c>
      <c r="G210" s="59">
        <f t="shared" si="97"/>
        <v>25625</v>
      </c>
      <c r="H210" s="59">
        <f t="shared" si="97"/>
        <v>25625</v>
      </c>
      <c r="I210" s="59">
        <f t="shared" si="97"/>
        <v>25625</v>
      </c>
      <c r="J210" s="59">
        <f t="shared" si="97"/>
        <v>25625</v>
      </c>
      <c r="K210" s="59">
        <f t="shared" si="97"/>
        <v>25625</v>
      </c>
      <c r="L210" s="59">
        <f t="shared" si="97"/>
        <v>25625</v>
      </c>
      <c r="M210" s="59">
        <f t="shared" si="97"/>
        <v>25625</v>
      </c>
      <c r="N210" s="59">
        <f t="shared" si="97"/>
        <v>25625</v>
      </c>
      <c r="O210" s="60" t="s">
        <v>97</v>
      </c>
      <c r="P210" s="61">
        <f>SUM(C210:N210)</f>
        <v>307500</v>
      </c>
      <c r="S210" s="152"/>
      <c r="T210" s="153"/>
      <c r="V210" s="153"/>
      <c r="W210" s="151"/>
      <c r="X210" s="149"/>
    </row>
    <row r="211" spans="2:24" x14ac:dyDescent="0.25">
      <c r="B211" s="21" t="s">
        <v>21</v>
      </c>
      <c r="C211" s="21">
        <f t="shared" ref="C211:N211" si="98">C209*0.4</f>
        <v>10250</v>
      </c>
      <c r="D211" s="21">
        <f t="shared" si="98"/>
        <v>10250</v>
      </c>
      <c r="E211" s="21">
        <f t="shared" si="98"/>
        <v>10250</v>
      </c>
      <c r="F211" s="21">
        <f t="shared" si="98"/>
        <v>10250</v>
      </c>
      <c r="G211" s="21">
        <f t="shared" si="98"/>
        <v>10250</v>
      </c>
      <c r="H211" s="21">
        <f t="shared" si="98"/>
        <v>10250</v>
      </c>
      <c r="I211" s="21">
        <f t="shared" si="98"/>
        <v>10250</v>
      </c>
      <c r="J211" s="21">
        <f t="shared" si="98"/>
        <v>10250</v>
      </c>
      <c r="K211" s="21">
        <f t="shared" si="98"/>
        <v>10250</v>
      </c>
      <c r="L211" s="21">
        <f t="shared" si="98"/>
        <v>10250</v>
      </c>
      <c r="M211" s="21">
        <f t="shared" si="98"/>
        <v>10250</v>
      </c>
      <c r="N211" s="22">
        <f t="shared" si="98"/>
        <v>10250</v>
      </c>
      <c r="O211" s="60" t="s">
        <v>98</v>
      </c>
      <c r="P211" s="61">
        <f>SUM(C211:N211)</f>
        <v>123000</v>
      </c>
      <c r="S211" s="148" t="s">
        <v>22</v>
      </c>
      <c r="T211" s="148">
        <f>SUM(T212:T214)</f>
        <v>-1296653.054</v>
      </c>
      <c r="U211" s="148">
        <f>SUM(U212:U214)</f>
        <v>0</v>
      </c>
      <c r="V211" s="148">
        <f>SUM(V212:V214)</f>
        <v>-1296653.054</v>
      </c>
      <c r="W211" s="148" t="s">
        <v>23</v>
      </c>
      <c r="X211" s="149">
        <f>SUM(X212:X215)</f>
        <v>40463.786</v>
      </c>
    </row>
    <row r="212" spans="2:24" ht="30" x14ac:dyDescent="0.25">
      <c r="B212" s="59" t="s">
        <v>99</v>
      </c>
      <c r="C212" s="59">
        <f>P121</f>
        <v>10250</v>
      </c>
      <c r="D212" s="59">
        <f t="shared" ref="D212:N212" si="99">C211</f>
        <v>10250</v>
      </c>
      <c r="E212" s="59">
        <f t="shared" si="99"/>
        <v>10250</v>
      </c>
      <c r="F212" s="59">
        <f t="shared" si="99"/>
        <v>10250</v>
      </c>
      <c r="G212" s="59">
        <f t="shared" si="99"/>
        <v>10250</v>
      </c>
      <c r="H212" s="59">
        <f t="shared" si="99"/>
        <v>10250</v>
      </c>
      <c r="I212" s="59">
        <f t="shared" si="99"/>
        <v>10250</v>
      </c>
      <c r="J212" s="59">
        <f t="shared" si="99"/>
        <v>10250</v>
      </c>
      <c r="K212" s="59">
        <f t="shared" si="99"/>
        <v>10250</v>
      </c>
      <c r="L212" s="59">
        <f t="shared" si="99"/>
        <v>10250</v>
      </c>
      <c r="M212" s="59">
        <f t="shared" si="99"/>
        <v>10250</v>
      </c>
      <c r="N212" s="59">
        <f t="shared" si="99"/>
        <v>10250</v>
      </c>
      <c r="O212" s="60" t="s">
        <v>100</v>
      </c>
      <c r="P212" s="61">
        <f>N211</f>
        <v>10250</v>
      </c>
      <c r="S212" s="150" t="s">
        <v>25</v>
      </c>
      <c r="T212" s="150">
        <v>15000</v>
      </c>
      <c r="U212" s="150"/>
      <c r="V212" s="150">
        <f>T212-U212</f>
        <v>15000</v>
      </c>
      <c r="W212" s="150" t="s">
        <v>26</v>
      </c>
      <c r="X212" s="151">
        <f>Emprunt!G11</f>
        <v>30000</v>
      </c>
    </row>
    <row r="213" spans="2:24" ht="30" x14ac:dyDescent="0.25">
      <c r="S213" s="150" t="s">
        <v>28</v>
      </c>
      <c r="T213" s="150">
        <f>P185</f>
        <v>14852.600000000004</v>
      </c>
      <c r="U213" s="150"/>
      <c r="V213" s="150">
        <f t="shared" ref="V213:V214" si="100">T213-U213</f>
        <v>14852.600000000004</v>
      </c>
      <c r="W213" s="150" t="s">
        <v>29</v>
      </c>
      <c r="X213" s="151">
        <v>0</v>
      </c>
    </row>
    <row r="214" spans="2:24" x14ac:dyDescent="0.25">
      <c r="S214" s="150" t="s">
        <v>34</v>
      </c>
      <c r="T214" s="150">
        <f>P264</f>
        <v>-1326505.6540000001</v>
      </c>
      <c r="U214" s="150"/>
      <c r="V214" s="150">
        <f t="shared" si="100"/>
        <v>-1326505.6540000001</v>
      </c>
      <c r="W214" s="150" t="s">
        <v>159</v>
      </c>
      <c r="X214" s="151">
        <f>P212+P243</f>
        <v>10463.786</v>
      </c>
    </row>
    <row r="215" spans="2:24" x14ac:dyDescent="0.25">
      <c r="B215" s="219" t="s">
        <v>160</v>
      </c>
      <c r="C215" s="219"/>
      <c r="D215" s="219"/>
      <c r="E215" s="219"/>
      <c r="F215" s="219"/>
      <c r="G215" s="219"/>
      <c r="H215" s="219"/>
      <c r="I215" s="219"/>
      <c r="J215" s="219"/>
      <c r="K215" s="219"/>
      <c r="L215" s="219"/>
      <c r="M215" s="219"/>
      <c r="N215" s="219"/>
      <c r="O215" s="219"/>
      <c r="P215" s="219"/>
      <c r="S215" s="150"/>
      <c r="T215" s="150"/>
      <c r="U215" s="150"/>
      <c r="V215" s="150"/>
      <c r="W215" s="150"/>
      <c r="X215" s="151"/>
    </row>
    <row r="216" spans="2:24" x14ac:dyDescent="0.25">
      <c r="B216" s="213"/>
      <c r="C216" s="215" t="s">
        <v>50</v>
      </c>
      <c r="D216" s="215" t="s">
        <v>51</v>
      </c>
      <c r="E216" s="215" t="s">
        <v>52</v>
      </c>
      <c r="F216" s="215" t="s">
        <v>53</v>
      </c>
      <c r="G216" s="215" t="s">
        <v>54</v>
      </c>
      <c r="H216" s="215" t="s">
        <v>55</v>
      </c>
      <c r="I216" s="215" t="s">
        <v>56</v>
      </c>
      <c r="J216" s="215" t="s">
        <v>57</v>
      </c>
      <c r="K216" s="215" t="s">
        <v>58</v>
      </c>
      <c r="L216" s="215" t="s">
        <v>59</v>
      </c>
      <c r="M216" s="215" t="s">
        <v>60</v>
      </c>
      <c r="N216" s="215" t="s">
        <v>61</v>
      </c>
      <c r="O216" s="220" t="s">
        <v>62</v>
      </c>
      <c r="P216" s="221"/>
      <c r="S216" s="156" t="s">
        <v>38</v>
      </c>
      <c r="T216" s="156">
        <f>T205+T211</f>
        <v>-1020753.054</v>
      </c>
      <c r="U216" s="156">
        <f>U205</f>
        <v>54634.523809523816</v>
      </c>
      <c r="V216" s="156">
        <f>T216-U216</f>
        <v>-1075387.5778095238</v>
      </c>
      <c r="W216" s="156" t="s">
        <v>39</v>
      </c>
      <c r="X216" s="157">
        <f>X205+X211</f>
        <v>-1206909.5778095236</v>
      </c>
    </row>
    <row r="217" spans="2:24" x14ac:dyDescent="0.25">
      <c r="B217" s="214"/>
      <c r="C217" s="216"/>
      <c r="D217" s="216"/>
      <c r="E217" s="216"/>
      <c r="F217" s="216"/>
      <c r="G217" s="216"/>
      <c r="H217" s="216"/>
      <c r="I217" s="216"/>
      <c r="J217" s="216"/>
      <c r="K217" s="216"/>
      <c r="L217" s="216"/>
      <c r="M217" s="216"/>
      <c r="N217" s="216"/>
      <c r="O217" s="58" t="s">
        <v>64</v>
      </c>
      <c r="P217" s="58" t="s">
        <v>65</v>
      </c>
      <c r="W217" s="158" t="s">
        <v>42</v>
      </c>
      <c r="X217" s="159">
        <f>V216-X216</f>
        <v>131521.99999999977</v>
      </c>
    </row>
    <row r="218" spans="2:24" x14ac:dyDescent="0.25">
      <c r="B218" s="46" t="s">
        <v>102</v>
      </c>
      <c r="C218" s="35"/>
      <c r="D218" s="35"/>
      <c r="E218" s="35"/>
      <c r="F218" s="35"/>
      <c r="G218" s="35"/>
      <c r="H218" s="35"/>
      <c r="I218" s="35"/>
      <c r="J218" s="35"/>
      <c r="K218" s="35"/>
      <c r="L218" s="35">
        <v>8200</v>
      </c>
      <c r="M218" s="35"/>
      <c r="N218" s="35"/>
      <c r="O218" s="60" t="s">
        <v>103</v>
      </c>
      <c r="P218" s="61">
        <f>SUM(C218:N218)</f>
        <v>8200</v>
      </c>
    </row>
    <row r="219" spans="2:24" x14ac:dyDescent="0.25">
      <c r="B219" s="34" t="s">
        <v>105</v>
      </c>
      <c r="C219" s="34"/>
      <c r="D219" s="34"/>
      <c r="E219" s="34"/>
      <c r="F219" s="34"/>
      <c r="G219" s="34"/>
      <c r="H219" s="34"/>
      <c r="I219" s="34"/>
      <c r="J219" s="34"/>
      <c r="K219" s="34"/>
      <c r="L219" s="35">
        <v>8200</v>
      </c>
      <c r="M219" s="34"/>
      <c r="N219" s="34"/>
      <c r="O219" s="34"/>
      <c r="P219" s="34"/>
    </row>
    <row r="220" spans="2:24" x14ac:dyDescent="0.25">
      <c r="B220" s="34" t="s">
        <v>106</v>
      </c>
      <c r="C220" s="34">
        <f>$P$220/12</f>
        <v>175</v>
      </c>
      <c r="D220" s="34">
        <f t="shared" ref="D220:N220" si="101">$P$220/12</f>
        <v>175</v>
      </c>
      <c r="E220" s="34">
        <f t="shared" si="101"/>
        <v>175</v>
      </c>
      <c r="F220" s="34">
        <f t="shared" si="101"/>
        <v>175</v>
      </c>
      <c r="G220" s="34">
        <f t="shared" si="101"/>
        <v>175</v>
      </c>
      <c r="H220" s="34">
        <f t="shared" si="101"/>
        <v>175</v>
      </c>
      <c r="I220" s="34">
        <f t="shared" si="101"/>
        <v>175</v>
      </c>
      <c r="J220" s="34">
        <f t="shared" si="101"/>
        <v>175</v>
      </c>
      <c r="K220" s="34">
        <f t="shared" si="101"/>
        <v>175</v>
      </c>
      <c r="L220" s="34">
        <f t="shared" si="101"/>
        <v>175</v>
      </c>
      <c r="M220" s="34">
        <f t="shared" si="101"/>
        <v>175</v>
      </c>
      <c r="N220" s="34">
        <f t="shared" si="101"/>
        <v>175</v>
      </c>
      <c r="O220" s="60" t="s">
        <v>107</v>
      </c>
      <c r="P220" s="61">
        <f>Emprunt!D11</f>
        <v>2100</v>
      </c>
    </row>
    <row r="221" spans="2:24" x14ac:dyDescent="0.25">
      <c r="B221" s="34" t="s">
        <v>108</v>
      </c>
      <c r="C221" s="34">
        <f>$P$221/12</f>
        <v>2500</v>
      </c>
      <c r="D221" s="34">
        <f t="shared" ref="D221:N221" si="102">$P$221/12</f>
        <v>2500</v>
      </c>
      <c r="E221" s="34">
        <f t="shared" si="102"/>
        <v>2500</v>
      </c>
      <c r="F221" s="34">
        <f t="shared" si="102"/>
        <v>2500</v>
      </c>
      <c r="G221" s="34">
        <f t="shared" si="102"/>
        <v>2500</v>
      </c>
      <c r="H221" s="34">
        <f t="shared" si="102"/>
        <v>2500</v>
      </c>
      <c r="I221" s="34">
        <f t="shared" si="102"/>
        <v>2500</v>
      </c>
      <c r="J221" s="34">
        <f t="shared" si="102"/>
        <v>2500</v>
      </c>
      <c r="K221" s="34">
        <f t="shared" si="102"/>
        <v>2500</v>
      </c>
      <c r="L221" s="34">
        <f t="shared" si="102"/>
        <v>2500</v>
      </c>
      <c r="M221" s="34">
        <f t="shared" si="102"/>
        <v>2500</v>
      </c>
      <c r="N221" s="34">
        <f t="shared" si="102"/>
        <v>2500</v>
      </c>
      <c r="O221" s="60" t="s">
        <v>109</v>
      </c>
      <c r="P221" s="61">
        <f>Emprunt!E10</f>
        <v>30000</v>
      </c>
    </row>
    <row r="222" spans="2:24" x14ac:dyDescent="0.25">
      <c r="B222" s="59" t="s">
        <v>71</v>
      </c>
      <c r="C222" s="59">
        <f>C220+C221</f>
        <v>2675</v>
      </c>
      <c r="D222" s="59">
        <f t="shared" ref="D222:N222" si="103">D220+D221</f>
        <v>2675</v>
      </c>
      <c r="E222" s="59">
        <f t="shared" si="103"/>
        <v>2675</v>
      </c>
      <c r="F222" s="59">
        <f t="shared" si="103"/>
        <v>2675</v>
      </c>
      <c r="G222" s="59">
        <f t="shared" si="103"/>
        <v>2675</v>
      </c>
      <c r="H222" s="59">
        <f t="shared" si="103"/>
        <v>2675</v>
      </c>
      <c r="I222" s="59">
        <f t="shared" si="103"/>
        <v>2675</v>
      </c>
      <c r="J222" s="59">
        <f t="shared" si="103"/>
        <v>2675</v>
      </c>
      <c r="K222" s="59">
        <f t="shared" si="103"/>
        <v>2675</v>
      </c>
      <c r="L222" s="59">
        <f t="shared" si="103"/>
        <v>2675</v>
      </c>
      <c r="M222" s="59">
        <f t="shared" si="103"/>
        <v>2675</v>
      </c>
      <c r="N222" s="59">
        <f t="shared" si="103"/>
        <v>2675</v>
      </c>
      <c r="O222" s="38"/>
      <c r="P222" s="38"/>
    </row>
    <row r="225" spans="2:16" x14ac:dyDescent="0.25">
      <c r="B225" s="177" t="s">
        <v>161</v>
      </c>
      <c r="C225" s="36"/>
      <c r="D225" s="36"/>
      <c r="E225" s="36"/>
      <c r="F225" s="36"/>
      <c r="G225" s="36"/>
      <c r="H225" s="36"/>
      <c r="I225" s="36"/>
      <c r="J225" s="36"/>
      <c r="K225" s="36"/>
      <c r="L225" s="36"/>
      <c r="M225" s="36"/>
      <c r="N225" s="36"/>
      <c r="O225" s="36"/>
      <c r="P225" s="36"/>
    </row>
    <row r="226" spans="2:16" x14ac:dyDescent="0.25">
      <c r="B226" s="213"/>
      <c r="C226" s="215" t="s">
        <v>50</v>
      </c>
      <c r="D226" s="215" t="s">
        <v>51</v>
      </c>
      <c r="E226" s="215" t="s">
        <v>52</v>
      </c>
      <c r="F226" s="215" t="s">
        <v>53</v>
      </c>
      <c r="G226" s="215" t="s">
        <v>54</v>
      </c>
      <c r="H226" s="215" t="s">
        <v>55</v>
      </c>
      <c r="I226" s="215" t="s">
        <v>56</v>
      </c>
      <c r="J226" s="215" t="s">
        <v>57</v>
      </c>
      <c r="K226" s="215" t="s">
        <v>58</v>
      </c>
      <c r="L226" s="215" t="s">
        <v>59</v>
      </c>
      <c r="M226" s="215" t="s">
        <v>60</v>
      </c>
      <c r="N226" s="215" t="s">
        <v>61</v>
      </c>
      <c r="O226" s="220" t="s">
        <v>62</v>
      </c>
      <c r="P226" s="221"/>
    </row>
    <row r="227" spans="2:16" x14ac:dyDescent="0.25">
      <c r="B227" s="214"/>
      <c r="C227" s="216"/>
      <c r="D227" s="216"/>
      <c r="E227" s="216"/>
      <c r="F227" s="216"/>
      <c r="G227" s="216"/>
      <c r="H227" s="216"/>
      <c r="I227" s="216"/>
      <c r="J227" s="216"/>
      <c r="K227" s="216"/>
      <c r="L227" s="216"/>
      <c r="M227" s="216"/>
      <c r="N227" s="216"/>
      <c r="O227" s="58" t="s">
        <v>64</v>
      </c>
      <c r="P227" s="58" t="s">
        <v>65</v>
      </c>
    </row>
    <row r="228" spans="2:16" x14ac:dyDescent="0.25">
      <c r="B228" s="35" t="s">
        <v>111</v>
      </c>
      <c r="C228" s="35">
        <f>Emprunt!J28</f>
        <v>22400</v>
      </c>
      <c r="D228" s="35"/>
      <c r="E228" s="35"/>
      <c r="F228" s="35"/>
      <c r="G228" s="35"/>
      <c r="H228" s="35"/>
      <c r="I228" s="35"/>
      <c r="J228" s="35"/>
      <c r="K228" s="35"/>
      <c r="L228" s="35"/>
      <c r="M228" s="35"/>
      <c r="N228" s="35"/>
      <c r="O228" s="60" t="s">
        <v>112</v>
      </c>
      <c r="P228" s="61">
        <f>SUM(C228:N228)</f>
        <v>22400</v>
      </c>
    </row>
    <row r="229" spans="2:16" x14ac:dyDescent="0.25">
      <c r="B229" s="34" t="s">
        <v>113</v>
      </c>
      <c r="C229" s="34">
        <f>C228*20%</f>
        <v>4480</v>
      </c>
      <c r="D229" s="34">
        <f t="shared" ref="D229:N229" si="104">D228*20%</f>
        <v>0</v>
      </c>
      <c r="E229" s="34">
        <f t="shared" si="104"/>
        <v>0</v>
      </c>
      <c r="F229" s="34">
        <f t="shared" si="104"/>
        <v>0</v>
      </c>
      <c r="G229" s="34">
        <f t="shared" si="104"/>
        <v>0</v>
      </c>
      <c r="H229" s="34">
        <f t="shared" si="104"/>
        <v>0</v>
      </c>
      <c r="I229" s="34">
        <f t="shared" si="104"/>
        <v>0</v>
      </c>
      <c r="J229" s="34">
        <f t="shared" si="104"/>
        <v>0</v>
      </c>
      <c r="K229" s="34">
        <f t="shared" si="104"/>
        <v>0</v>
      </c>
      <c r="L229" s="34">
        <f t="shared" si="104"/>
        <v>0</v>
      </c>
      <c r="M229" s="34">
        <f t="shared" si="104"/>
        <v>0</v>
      </c>
      <c r="N229" s="34">
        <f t="shared" si="104"/>
        <v>0</v>
      </c>
      <c r="O229" s="34"/>
      <c r="P229" s="34"/>
    </row>
    <row r="230" spans="2:16" x14ac:dyDescent="0.25">
      <c r="B230" s="34" t="s">
        <v>114</v>
      </c>
      <c r="C230" s="34">
        <f>C228+C229</f>
        <v>26880</v>
      </c>
      <c r="D230" s="34">
        <f t="shared" ref="D230:N230" si="105">D228+D229</f>
        <v>0</v>
      </c>
      <c r="E230" s="34">
        <f t="shared" si="105"/>
        <v>0</v>
      </c>
      <c r="F230" s="34">
        <f t="shared" si="105"/>
        <v>0</v>
      </c>
      <c r="G230" s="34">
        <f t="shared" si="105"/>
        <v>0</v>
      </c>
      <c r="H230" s="34">
        <f t="shared" si="105"/>
        <v>0</v>
      </c>
      <c r="I230" s="34">
        <f t="shared" si="105"/>
        <v>0</v>
      </c>
      <c r="J230" s="34">
        <f t="shared" si="105"/>
        <v>0</v>
      </c>
      <c r="K230" s="34">
        <f t="shared" si="105"/>
        <v>0</v>
      </c>
      <c r="L230" s="34">
        <f t="shared" si="105"/>
        <v>0</v>
      </c>
      <c r="M230" s="34">
        <f t="shared" si="105"/>
        <v>0</v>
      </c>
      <c r="N230" s="34">
        <f t="shared" si="105"/>
        <v>0</v>
      </c>
      <c r="O230" s="34"/>
      <c r="P230" s="34"/>
    </row>
    <row r="231" spans="2:16" x14ac:dyDescent="0.25">
      <c r="B231" s="59" t="s">
        <v>81</v>
      </c>
      <c r="C231" s="59">
        <f>C230</f>
        <v>26880</v>
      </c>
      <c r="D231" s="59">
        <f t="shared" ref="D231:N231" si="106">D230</f>
        <v>0</v>
      </c>
      <c r="E231" s="59">
        <f t="shared" si="106"/>
        <v>0</v>
      </c>
      <c r="F231" s="59">
        <f t="shared" si="106"/>
        <v>0</v>
      </c>
      <c r="G231" s="59">
        <f t="shared" si="106"/>
        <v>0</v>
      </c>
      <c r="H231" s="59">
        <f t="shared" si="106"/>
        <v>0</v>
      </c>
      <c r="I231" s="59">
        <f t="shared" si="106"/>
        <v>0</v>
      </c>
      <c r="J231" s="59">
        <f t="shared" si="106"/>
        <v>0</v>
      </c>
      <c r="K231" s="59">
        <f t="shared" si="106"/>
        <v>0</v>
      </c>
      <c r="L231" s="59">
        <f t="shared" si="106"/>
        <v>0</v>
      </c>
      <c r="M231" s="59">
        <f t="shared" si="106"/>
        <v>0</v>
      </c>
      <c r="N231" s="59">
        <f t="shared" si="106"/>
        <v>0</v>
      </c>
      <c r="O231" s="60" t="s">
        <v>115</v>
      </c>
      <c r="P231" s="61">
        <v>0</v>
      </c>
    </row>
    <row r="234" spans="2:16" x14ac:dyDescent="0.25">
      <c r="B234" s="177" t="s">
        <v>162</v>
      </c>
      <c r="C234" s="36"/>
      <c r="D234" s="36"/>
      <c r="E234" s="36"/>
      <c r="F234" s="36"/>
      <c r="G234" s="36"/>
      <c r="H234" s="36"/>
      <c r="I234" s="36"/>
      <c r="J234" s="36"/>
      <c r="K234" s="36"/>
      <c r="L234" s="36"/>
      <c r="M234" s="36"/>
      <c r="N234" s="36"/>
      <c r="O234" s="36"/>
      <c r="P234" s="36"/>
    </row>
    <row r="235" spans="2:16" x14ac:dyDescent="0.25">
      <c r="B235" s="213"/>
      <c r="C235" s="215" t="s">
        <v>50</v>
      </c>
      <c r="D235" s="215" t="s">
        <v>51</v>
      </c>
      <c r="E235" s="215" t="s">
        <v>52</v>
      </c>
      <c r="F235" s="215" t="s">
        <v>53</v>
      </c>
      <c r="G235" s="215" t="s">
        <v>54</v>
      </c>
      <c r="H235" s="215" t="s">
        <v>55</v>
      </c>
      <c r="I235" s="215" t="s">
        <v>56</v>
      </c>
      <c r="J235" s="215" t="s">
        <v>57</v>
      </c>
      <c r="K235" s="215" t="s">
        <v>58</v>
      </c>
      <c r="L235" s="215" t="s">
        <v>59</v>
      </c>
      <c r="M235" s="215" t="s">
        <v>60</v>
      </c>
      <c r="N235" s="215" t="s">
        <v>61</v>
      </c>
      <c r="O235" s="220" t="s">
        <v>62</v>
      </c>
      <c r="P235" s="221"/>
    </row>
    <row r="236" spans="2:16" x14ac:dyDescent="0.25">
      <c r="B236" s="214"/>
      <c r="C236" s="216"/>
      <c r="D236" s="216"/>
      <c r="E236" s="216"/>
      <c r="F236" s="216"/>
      <c r="G236" s="216"/>
      <c r="H236" s="216"/>
      <c r="I236" s="216"/>
      <c r="J236" s="216"/>
      <c r="K236" s="216"/>
      <c r="L236" s="216"/>
      <c r="M236" s="216"/>
      <c r="N236" s="216"/>
      <c r="O236" s="58" t="s">
        <v>64</v>
      </c>
      <c r="P236" s="58" t="s">
        <v>65</v>
      </c>
    </row>
    <row r="237" spans="2:16" x14ac:dyDescent="0.25">
      <c r="B237" s="59" t="s">
        <v>68</v>
      </c>
      <c r="C237" s="59">
        <f>C183</f>
        <v>2475.4333333333343</v>
      </c>
      <c r="D237" s="59">
        <f t="shared" ref="D237:N237" si="107">D183</f>
        <v>2475.4333333333343</v>
      </c>
      <c r="E237" s="59">
        <f t="shared" si="107"/>
        <v>2475.4333333333343</v>
      </c>
      <c r="F237" s="59">
        <f t="shared" si="107"/>
        <v>2475.4333333333343</v>
      </c>
      <c r="G237" s="59">
        <f t="shared" si="107"/>
        <v>2475.4333333333343</v>
      </c>
      <c r="H237" s="59">
        <f t="shared" si="107"/>
        <v>2475.4333333333343</v>
      </c>
      <c r="I237" s="59">
        <f t="shared" si="107"/>
        <v>2475.4333333333343</v>
      </c>
      <c r="J237" s="59">
        <f t="shared" si="107"/>
        <v>2475.4333333333343</v>
      </c>
      <c r="K237" s="59">
        <f t="shared" si="107"/>
        <v>2475.4333333333343</v>
      </c>
      <c r="L237" s="59">
        <f t="shared" si="107"/>
        <v>2475.4333333333343</v>
      </c>
      <c r="M237" s="59">
        <f t="shared" si="107"/>
        <v>2475.4333333333343</v>
      </c>
      <c r="N237" s="59">
        <f t="shared" si="107"/>
        <v>2475.4333333333343</v>
      </c>
      <c r="O237" s="34"/>
      <c r="P237" s="34"/>
    </row>
    <row r="238" spans="2:16" x14ac:dyDescent="0.25">
      <c r="B238" s="34" t="s">
        <v>79</v>
      </c>
      <c r="C238" s="34">
        <f>C192</f>
        <v>841.64733333333356</v>
      </c>
      <c r="D238" s="34">
        <f t="shared" ref="D238:N238" si="108">D192</f>
        <v>841.64733333333356</v>
      </c>
      <c r="E238" s="34">
        <f t="shared" si="108"/>
        <v>841.64733333333356</v>
      </c>
      <c r="F238" s="34">
        <f t="shared" si="108"/>
        <v>841.64733333333356</v>
      </c>
      <c r="G238" s="34">
        <f t="shared" si="108"/>
        <v>841.64733333333356</v>
      </c>
      <c r="H238" s="34">
        <f t="shared" si="108"/>
        <v>841.64733333333356</v>
      </c>
      <c r="I238" s="34">
        <f t="shared" si="108"/>
        <v>841.64733333333356</v>
      </c>
      <c r="J238" s="34">
        <f t="shared" si="108"/>
        <v>841.64733333333356</v>
      </c>
      <c r="K238" s="34">
        <f t="shared" si="108"/>
        <v>841.64733333333356</v>
      </c>
      <c r="L238" s="34">
        <f t="shared" si="108"/>
        <v>841.64733333333356</v>
      </c>
      <c r="M238" s="34">
        <f t="shared" si="108"/>
        <v>841.64733333333356</v>
      </c>
      <c r="N238" s="34">
        <f t="shared" si="108"/>
        <v>841.64733333333356</v>
      </c>
      <c r="O238" s="34"/>
      <c r="P238" s="34"/>
    </row>
    <row r="239" spans="2:16" x14ac:dyDescent="0.25">
      <c r="B239" s="34" t="s">
        <v>86</v>
      </c>
      <c r="C239" s="34">
        <f>C201</f>
        <v>1420</v>
      </c>
      <c r="D239" s="34">
        <f t="shared" ref="D239:N239" si="109">D201</f>
        <v>1420</v>
      </c>
      <c r="E239" s="34">
        <f t="shared" si="109"/>
        <v>1420</v>
      </c>
      <c r="F239" s="34">
        <f t="shared" si="109"/>
        <v>1420</v>
      </c>
      <c r="G239" s="34">
        <f t="shared" si="109"/>
        <v>1420</v>
      </c>
      <c r="H239" s="34">
        <f t="shared" si="109"/>
        <v>1420</v>
      </c>
      <c r="I239" s="34">
        <f t="shared" si="109"/>
        <v>1420</v>
      </c>
      <c r="J239" s="34">
        <f t="shared" si="109"/>
        <v>1420</v>
      </c>
      <c r="K239" s="34">
        <f t="shared" si="109"/>
        <v>1420</v>
      </c>
      <c r="L239" s="34">
        <f t="shared" si="109"/>
        <v>1420</v>
      </c>
      <c r="M239" s="34">
        <f t="shared" si="109"/>
        <v>1420</v>
      </c>
      <c r="N239" s="34">
        <f t="shared" si="109"/>
        <v>1420</v>
      </c>
      <c r="O239" s="34"/>
      <c r="P239" s="34"/>
    </row>
    <row r="240" spans="2:16" x14ac:dyDescent="0.25">
      <c r="B240" s="59" t="s">
        <v>113</v>
      </c>
      <c r="C240" s="59">
        <f>C229</f>
        <v>4480</v>
      </c>
      <c r="D240" s="59">
        <f t="shared" ref="D240:N240" si="110">D229</f>
        <v>0</v>
      </c>
      <c r="E240" s="59">
        <f t="shared" si="110"/>
        <v>0</v>
      </c>
      <c r="F240" s="59">
        <f t="shared" si="110"/>
        <v>0</v>
      </c>
      <c r="G240" s="59">
        <f t="shared" si="110"/>
        <v>0</v>
      </c>
      <c r="H240" s="59">
        <f>H229</f>
        <v>0</v>
      </c>
      <c r="I240" s="59">
        <f t="shared" si="110"/>
        <v>0</v>
      </c>
      <c r="J240" s="59">
        <f t="shared" si="110"/>
        <v>0</v>
      </c>
      <c r="K240" s="59">
        <f t="shared" si="110"/>
        <v>0</v>
      </c>
      <c r="L240" s="59">
        <f t="shared" si="110"/>
        <v>0</v>
      </c>
      <c r="M240" s="59">
        <f t="shared" si="110"/>
        <v>0</v>
      </c>
      <c r="N240" s="59">
        <f t="shared" si="110"/>
        <v>0</v>
      </c>
      <c r="O240" s="34"/>
      <c r="P240" s="34"/>
    </row>
    <row r="241" spans="2:16" x14ac:dyDescent="0.25">
      <c r="B241" s="44" t="s">
        <v>117</v>
      </c>
      <c r="C241" s="42">
        <f>C238+C239+C240</f>
        <v>6741.6473333333333</v>
      </c>
      <c r="D241" s="42">
        <f t="shared" ref="D241:N241" si="111">D238+D239+D240</f>
        <v>2261.6473333333333</v>
      </c>
      <c r="E241" s="42">
        <f t="shared" si="111"/>
        <v>2261.6473333333333</v>
      </c>
      <c r="F241" s="42">
        <f t="shared" si="111"/>
        <v>2261.6473333333333</v>
      </c>
      <c r="G241" s="42">
        <f t="shared" si="111"/>
        <v>2261.6473333333333</v>
      </c>
      <c r="H241" s="42">
        <f t="shared" si="111"/>
        <v>2261.6473333333333</v>
      </c>
      <c r="I241" s="42">
        <f t="shared" si="111"/>
        <v>2261.6473333333333</v>
      </c>
      <c r="J241" s="42">
        <f t="shared" si="111"/>
        <v>2261.6473333333333</v>
      </c>
      <c r="K241" s="42">
        <f t="shared" si="111"/>
        <v>2261.6473333333333</v>
      </c>
      <c r="L241" s="42">
        <f t="shared" si="111"/>
        <v>2261.6473333333333</v>
      </c>
      <c r="M241" s="42">
        <f t="shared" si="111"/>
        <v>2261.6473333333333</v>
      </c>
      <c r="N241" s="42">
        <f t="shared" si="111"/>
        <v>2261.6473333333333</v>
      </c>
      <c r="O241" s="34"/>
      <c r="P241" s="34"/>
    </row>
    <row r="242" spans="2:16" x14ac:dyDescent="0.25">
      <c r="B242" s="45" t="s">
        <v>118</v>
      </c>
      <c r="C242" s="43">
        <f>C237-C241</f>
        <v>-4266.213999999999</v>
      </c>
      <c r="D242" s="43">
        <f t="shared" ref="D242:N242" si="112">D237-D241</f>
        <v>213.78600000000097</v>
      </c>
      <c r="E242" s="43">
        <f t="shared" si="112"/>
        <v>213.78600000000097</v>
      </c>
      <c r="F242" s="43">
        <f t="shared" si="112"/>
        <v>213.78600000000097</v>
      </c>
      <c r="G242" s="43">
        <f t="shared" si="112"/>
        <v>213.78600000000097</v>
      </c>
      <c r="H242" s="43">
        <f t="shared" si="112"/>
        <v>213.78600000000097</v>
      </c>
      <c r="I242" s="43">
        <f t="shared" si="112"/>
        <v>213.78600000000097</v>
      </c>
      <c r="J242" s="43">
        <f t="shared" si="112"/>
        <v>213.78600000000097</v>
      </c>
      <c r="K242" s="43">
        <f t="shared" si="112"/>
        <v>213.78600000000097</v>
      </c>
      <c r="L242" s="43">
        <f t="shared" si="112"/>
        <v>213.78600000000097</v>
      </c>
      <c r="M242" s="43">
        <f t="shared" si="112"/>
        <v>213.78600000000097</v>
      </c>
      <c r="N242" s="43">
        <f t="shared" si="112"/>
        <v>213.78600000000097</v>
      </c>
      <c r="O242" s="34"/>
      <c r="P242" s="34"/>
    </row>
    <row r="243" spans="2:16" x14ac:dyDescent="0.25">
      <c r="B243" s="59" t="s">
        <v>81</v>
      </c>
      <c r="C243" s="59">
        <f>P152</f>
        <v>214.26666666666688</v>
      </c>
      <c r="D243" s="59">
        <f>C242</f>
        <v>-4266.213999999999</v>
      </c>
      <c r="E243" s="59">
        <f t="shared" ref="E243:N243" si="113">D242</f>
        <v>213.78600000000097</v>
      </c>
      <c r="F243" s="59">
        <f t="shared" si="113"/>
        <v>213.78600000000097</v>
      </c>
      <c r="G243" s="59">
        <f t="shared" si="113"/>
        <v>213.78600000000097</v>
      </c>
      <c r="H243" s="59">
        <f t="shared" si="113"/>
        <v>213.78600000000097</v>
      </c>
      <c r="I243" s="59">
        <f t="shared" si="113"/>
        <v>213.78600000000097</v>
      </c>
      <c r="J243" s="59">
        <f t="shared" si="113"/>
        <v>213.78600000000097</v>
      </c>
      <c r="K243" s="59">
        <f t="shared" si="113"/>
        <v>213.78600000000097</v>
      </c>
      <c r="L243" s="59">
        <f t="shared" si="113"/>
        <v>213.78600000000097</v>
      </c>
      <c r="M243" s="59">
        <f t="shared" si="113"/>
        <v>213.78600000000097</v>
      </c>
      <c r="N243" s="59">
        <f t="shared" si="113"/>
        <v>213.78600000000097</v>
      </c>
      <c r="O243" s="60" t="s">
        <v>119</v>
      </c>
      <c r="P243" s="61">
        <f>N242</f>
        <v>213.78600000000097</v>
      </c>
    </row>
    <row r="246" spans="2:16" x14ac:dyDescent="0.25">
      <c r="B246" s="177" t="s">
        <v>163</v>
      </c>
      <c r="C246" s="36"/>
      <c r="D246" s="36"/>
      <c r="E246" s="36"/>
      <c r="F246" s="36"/>
      <c r="G246" s="36"/>
      <c r="H246" s="36"/>
      <c r="I246" s="36"/>
      <c r="J246" s="36"/>
      <c r="K246" s="36"/>
      <c r="L246" s="36"/>
      <c r="M246" s="36"/>
      <c r="N246" s="36"/>
      <c r="O246" s="36"/>
      <c r="P246" s="36"/>
    </row>
    <row r="247" spans="2:16" x14ac:dyDescent="0.25">
      <c r="B247" s="213"/>
      <c r="C247" s="215" t="s">
        <v>50</v>
      </c>
      <c r="D247" s="215" t="s">
        <v>51</v>
      </c>
      <c r="E247" s="215" t="s">
        <v>52</v>
      </c>
      <c r="F247" s="215" t="s">
        <v>53</v>
      </c>
      <c r="G247" s="215" t="s">
        <v>54</v>
      </c>
      <c r="H247" s="215" t="s">
        <v>55</v>
      </c>
      <c r="I247" s="215" t="s">
        <v>56</v>
      </c>
      <c r="J247" s="215" t="s">
        <v>57</v>
      </c>
      <c r="K247" s="215" t="s">
        <v>58</v>
      </c>
      <c r="L247" s="215" t="s">
        <v>59</v>
      </c>
      <c r="M247" s="215" t="s">
        <v>60</v>
      </c>
      <c r="N247" s="215" t="s">
        <v>61</v>
      </c>
      <c r="O247" s="220" t="s">
        <v>62</v>
      </c>
      <c r="P247" s="221"/>
    </row>
    <row r="248" spans="2:16" x14ac:dyDescent="0.25">
      <c r="B248" s="214"/>
      <c r="C248" s="216"/>
      <c r="D248" s="216"/>
      <c r="E248" s="216"/>
      <c r="F248" s="216"/>
      <c r="G248" s="216"/>
      <c r="H248" s="216"/>
      <c r="I248" s="216"/>
      <c r="J248" s="216"/>
      <c r="K248" s="216"/>
      <c r="L248" s="216"/>
      <c r="M248" s="216"/>
      <c r="N248" s="216"/>
      <c r="O248" s="58" t="s">
        <v>64</v>
      </c>
      <c r="P248" s="58" t="s">
        <v>65</v>
      </c>
    </row>
    <row r="249" spans="2:16" x14ac:dyDescent="0.25">
      <c r="B249" s="35" t="s">
        <v>121</v>
      </c>
      <c r="C249" s="35">
        <f>C185</f>
        <v>14420.000000000004</v>
      </c>
      <c r="D249" s="35">
        <f t="shared" ref="D249:N249" si="114">D185</f>
        <v>14852.600000000004</v>
      </c>
      <c r="E249" s="35">
        <f t="shared" si="114"/>
        <v>14852.600000000004</v>
      </c>
      <c r="F249" s="35">
        <f t="shared" si="114"/>
        <v>14852.600000000004</v>
      </c>
      <c r="G249" s="35">
        <f t="shared" si="114"/>
        <v>14852.600000000004</v>
      </c>
      <c r="H249" s="35">
        <f t="shared" si="114"/>
        <v>14852.600000000004</v>
      </c>
      <c r="I249" s="35">
        <f t="shared" si="114"/>
        <v>14852.600000000004</v>
      </c>
      <c r="J249" s="43">
        <f t="shared" si="114"/>
        <v>14852.600000000004</v>
      </c>
      <c r="K249" s="35">
        <f t="shared" si="114"/>
        <v>14852.600000000004</v>
      </c>
      <c r="L249" s="35">
        <f t="shared" si="114"/>
        <v>14852.600000000004</v>
      </c>
      <c r="M249" s="35">
        <f t="shared" si="114"/>
        <v>14852.600000000004</v>
      </c>
      <c r="N249" s="35">
        <f t="shared" si="114"/>
        <v>14852.600000000004</v>
      </c>
      <c r="O249" s="34"/>
      <c r="P249" s="34"/>
    </row>
    <row r="250" spans="2:16" x14ac:dyDescent="0.25">
      <c r="B250" s="34" t="s">
        <v>122</v>
      </c>
      <c r="C250" s="34"/>
      <c r="D250" s="34"/>
      <c r="E250" s="34"/>
      <c r="F250" s="34"/>
      <c r="G250" s="34"/>
      <c r="H250" s="34"/>
      <c r="I250" s="34"/>
      <c r="J250" s="34"/>
      <c r="K250" s="34"/>
      <c r="L250" s="34"/>
      <c r="M250" s="34"/>
      <c r="N250" s="34"/>
      <c r="O250" s="34"/>
      <c r="P250" s="34"/>
    </row>
    <row r="251" spans="2:16" x14ac:dyDescent="0.25">
      <c r="B251" s="59" t="s">
        <v>123</v>
      </c>
      <c r="C251" s="59">
        <f>C250+C249</f>
        <v>14420.000000000004</v>
      </c>
      <c r="D251" s="59">
        <f t="shared" ref="D251:N251" si="115">D250+D249</f>
        <v>14852.600000000004</v>
      </c>
      <c r="E251" s="59">
        <f t="shared" si="115"/>
        <v>14852.600000000004</v>
      </c>
      <c r="F251" s="59">
        <f t="shared" si="115"/>
        <v>14852.600000000004</v>
      </c>
      <c r="G251" s="59">
        <f t="shared" si="115"/>
        <v>14852.600000000004</v>
      </c>
      <c r="H251" s="59">
        <f t="shared" si="115"/>
        <v>14852.600000000004</v>
      </c>
      <c r="I251" s="59">
        <f t="shared" si="115"/>
        <v>14852.600000000004</v>
      </c>
      <c r="J251" s="59">
        <f t="shared" si="115"/>
        <v>14852.600000000004</v>
      </c>
      <c r="K251" s="59">
        <f t="shared" si="115"/>
        <v>14852.600000000004</v>
      </c>
      <c r="L251" s="59">
        <f t="shared" si="115"/>
        <v>14852.600000000004</v>
      </c>
      <c r="M251" s="59">
        <f t="shared" si="115"/>
        <v>14852.600000000004</v>
      </c>
      <c r="N251" s="59">
        <f t="shared" si="115"/>
        <v>14852.600000000004</v>
      </c>
      <c r="O251" s="34"/>
      <c r="P251" s="34"/>
    </row>
    <row r="252" spans="2:16" x14ac:dyDescent="0.25">
      <c r="B252" s="39" t="s">
        <v>124</v>
      </c>
      <c r="C252" s="41">
        <f>C194</f>
        <v>5049.8840000000009</v>
      </c>
      <c r="D252" s="41">
        <f t="shared" ref="D252:N252" si="116">D194</f>
        <v>5049.8840000000009</v>
      </c>
      <c r="E252" s="41">
        <f t="shared" si="116"/>
        <v>5049.8840000000009</v>
      </c>
      <c r="F252" s="41">
        <f t="shared" si="116"/>
        <v>5049.8840000000009</v>
      </c>
      <c r="G252" s="41">
        <f t="shared" si="116"/>
        <v>5049.8840000000009</v>
      </c>
      <c r="H252" s="41">
        <f t="shared" si="116"/>
        <v>5049.8840000000009</v>
      </c>
      <c r="I252" s="41">
        <f t="shared" si="116"/>
        <v>5049.8840000000009</v>
      </c>
      <c r="J252" s="41">
        <f t="shared" si="116"/>
        <v>5049.8840000000009</v>
      </c>
      <c r="K252" s="41">
        <f t="shared" si="116"/>
        <v>5049.8840000000009</v>
      </c>
      <c r="L252" s="41">
        <f t="shared" si="116"/>
        <v>5049.8840000000009</v>
      </c>
      <c r="M252" s="41">
        <f t="shared" si="116"/>
        <v>5049.8840000000009</v>
      </c>
      <c r="N252" s="41">
        <f t="shared" si="116"/>
        <v>5049.8840000000009</v>
      </c>
      <c r="O252" s="34"/>
      <c r="P252" s="34"/>
    </row>
    <row r="253" spans="2:16" x14ac:dyDescent="0.25">
      <c r="B253" s="39" t="s">
        <v>125</v>
      </c>
      <c r="C253" s="41"/>
      <c r="D253" s="41"/>
      <c r="E253" s="41"/>
      <c r="F253" s="41"/>
      <c r="G253" s="41"/>
      <c r="H253" s="41"/>
      <c r="I253" s="41"/>
      <c r="J253" s="41"/>
      <c r="K253" s="41"/>
      <c r="L253" s="41"/>
      <c r="M253" s="41"/>
      <c r="N253" s="41"/>
      <c r="O253" s="34"/>
      <c r="P253" s="34"/>
    </row>
    <row r="254" spans="2:16" x14ac:dyDescent="0.25">
      <c r="B254" s="39" t="s">
        <v>126</v>
      </c>
      <c r="C254" s="41">
        <f>C210</f>
        <v>25625</v>
      </c>
      <c r="D254" s="41">
        <f t="shared" ref="D254:N254" si="117">D210</f>
        <v>25625</v>
      </c>
      <c r="E254" s="41">
        <f t="shared" si="117"/>
        <v>25625</v>
      </c>
      <c r="F254" s="41">
        <f t="shared" si="117"/>
        <v>25625</v>
      </c>
      <c r="G254" s="41">
        <f t="shared" si="117"/>
        <v>25625</v>
      </c>
      <c r="H254" s="41">
        <f t="shared" si="117"/>
        <v>25625</v>
      </c>
      <c r="I254" s="41">
        <f t="shared" si="117"/>
        <v>25625</v>
      </c>
      <c r="J254" s="41">
        <f t="shared" si="117"/>
        <v>25625</v>
      </c>
      <c r="K254" s="41">
        <f t="shared" si="117"/>
        <v>25625</v>
      </c>
      <c r="L254" s="41">
        <f t="shared" si="117"/>
        <v>25625</v>
      </c>
      <c r="M254" s="41">
        <f t="shared" si="117"/>
        <v>25625</v>
      </c>
      <c r="N254" s="41">
        <f t="shared" si="117"/>
        <v>25625</v>
      </c>
      <c r="O254" s="34"/>
      <c r="P254" s="34"/>
    </row>
    <row r="255" spans="2:16" x14ac:dyDescent="0.25">
      <c r="B255" s="39" t="s">
        <v>21</v>
      </c>
      <c r="C255" s="41">
        <f>C212</f>
        <v>10250</v>
      </c>
      <c r="D255" s="41">
        <f t="shared" ref="D255:N255" si="118">D212</f>
        <v>10250</v>
      </c>
      <c r="E255" s="41">
        <f t="shared" si="118"/>
        <v>10250</v>
      </c>
      <c r="F255" s="41">
        <f t="shared" si="118"/>
        <v>10250</v>
      </c>
      <c r="G255" s="41">
        <f t="shared" si="118"/>
        <v>10250</v>
      </c>
      <c r="H255" s="41">
        <f t="shared" si="118"/>
        <v>10250</v>
      </c>
      <c r="I255" s="41">
        <f t="shared" si="118"/>
        <v>10250</v>
      </c>
      <c r="J255" s="41">
        <f t="shared" si="118"/>
        <v>10250</v>
      </c>
      <c r="K255" s="41">
        <f t="shared" si="118"/>
        <v>10250</v>
      </c>
      <c r="L255" s="41">
        <f t="shared" si="118"/>
        <v>10250</v>
      </c>
      <c r="M255" s="41">
        <f t="shared" si="118"/>
        <v>10250</v>
      </c>
      <c r="N255" s="41">
        <f t="shared" si="118"/>
        <v>10250</v>
      </c>
      <c r="O255" s="34"/>
      <c r="P255" s="34"/>
    </row>
    <row r="256" spans="2:16" x14ac:dyDescent="0.25">
      <c r="B256" s="39" t="s">
        <v>102</v>
      </c>
      <c r="C256" s="41">
        <f t="shared" ref="C256:N256" si="119">C219</f>
        <v>0</v>
      </c>
      <c r="D256" s="41">
        <f t="shared" si="119"/>
        <v>0</v>
      </c>
      <c r="E256" s="41">
        <f t="shared" si="119"/>
        <v>0</v>
      </c>
      <c r="F256" s="41">
        <f t="shared" si="119"/>
        <v>0</v>
      </c>
      <c r="G256" s="41">
        <f t="shared" si="119"/>
        <v>0</v>
      </c>
      <c r="H256" s="41">
        <f t="shared" si="119"/>
        <v>0</v>
      </c>
      <c r="I256" s="41">
        <f t="shared" si="119"/>
        <v>0</v>
      </c>
      <c r="J256" s="41">
        <f t="shared" si="119"/>
        <v>0</v>
      </c>
      <c r="K256" s="41">
        <f t="shared" si="119"/>
        <v>0</v>
      </c>
      <c r="L256" s="41">
        <f t="shared" si="119"/>
        <v>8200</v>
      </c>
      <c r="M256" s="41">
        <f t="shared" si="119"/>
        <v>0</v>
      </c>
      <c r="N256" s="41">
        <f t="shared" si="119"/>
        <v>0</v>
      </c>
      <c r="O256" s="34"/>
      <c r="P256" s="34"/>
    </row>
    <row r="257" spans="2:16" x14ac:dyDescent="0.25">
      <c r="B257" s="39" t="s">
        <v>127</v>
      </c>
      <c r="C257" s="41">
        <f>C203</f>
        <v>8520</v>
      </c>
      <c r="D257" s="41">
        <f t="shared" ref="D257:N257" si="120">D203</f>
        <v>8520</v>
      </c>
      <c r="E257" s="41">
        <f t="shared" si="120"/>
        <v>8520</v>
      </c>
      <c r="F257" s="41">
        <f t="shared" si="120"/>
        <v>8520</v>
      </c>
      <c r="G257" s="41">
        <f t="shared" si="120"/>
        <v>8520</v>
      </c>
      <c r="H257" s="41">
        <f t="shared" si="120"/>
        <v>8520</v>
      </c>
      <c r="I257" s="41">
        <f t="shared" si="120"/>
        <v>8520</v>
      </c>
      <c r="J257" s="41">
        <f t="shared" si="120"/>
        <v>8520</v>
      </c>
      <c r="K257" s="41">
        <f t="shared" si="120"/>
        <v>8520</v>
      </c>
      <c r="L257" s="41">
        <f t="shared" si="120"/>
        <v>8520</v>
      </c>
      <c r="M257" s="41">
        <f t="shared" si="120"/>
        <v>8520</v>
      </c>
      <c r="N257" s="41">
        <f t="shared" si="120"/>
        <v>8520</v>
      </c>
      <c r="O257" s="34"/>
      <c r="P257" s="34"/>
    </row>
    <row r="258" spans="2:16" x14ac:dyDescent="0.25">
      <c r="B258" s="39" t="s">
        <v>128</v>
      </c>
      <c r="C258" s="41">
        <f t="shared" ref="C258:N258" si="121">C222</f>
        <v>2675</v>
      </c>
      <c r="D258" s="41">
        <f t="shared" si="121"/>
        <v>2675</v>
      </c>
      <c r="E258" s="41">
        <f t="shared" si="121"/>
        <v>2675</v>
      </c>
      <c r="F258" s="41">
        <f t="shared" si="121"/>
        <v>2675</v>
      </c>
      <c r="G258" s="41">
        <f t="shared" si="121"/>
        <v>2675</v>
      </c>
      <c r="H258" s="41">
        <f t="shared" si="121"/>
        <v>2675</v>
      </c>
      <c r="I258" s="41">
        <f t="shared" si="121"/>
        <v>2675</v>
      </c>
      <c r="J258" s="41">
        <f t="shared" si="121"/>
        <v>2675</v>
      </c>
      <c r="K258" s="41">
        <f t="shared" si="121"/>
        <v>2675</v>
      </c>
      <c r="L258" s="41">
        <f t="shared" si="121"/>
        <v>2675</v>
      </c>
      <c r="M258" s="41">
        <f t="shared" si="121"/>
        <v>2675</v>
      </c>
      <c r="N258" s="41">
        <f t="shared" si="121"/>
        <v>2675</v>
      </c>
      <c r="O258" s="34"/>
      <c r="P258" s="34"/>
    </row>
    <row r="259" spans="2:16" x14ac:dyDescent="0.25">
      <c r="B259" s="39" t="s">
        <v>129</v>
      </c>
      <c r="C259" s="41">
        <f>C230</f>
        <v>26880</v>
      </c>
      <c r="D259" s="41">
        <f t="shared" ref="D259:N259" si="122">D230</f>
        <v>0</v>
      </c>
      <c r="E259" s="41">
        <f t="shared" si="122"/>
        <v>0</v>
      </c>
      <c r="F259" s="41">
        <f t="shared" si="122"/>
        <v>0</v>
      </c>
      <c r="G259" s="41">
        <f t="shared" si="122"/>
        <v>0</v>
      </c>
      <c r="H259" s="41">
        <f>H230</f>
        <v>0</v>
      </c>
      <c r="I259" s="41">
        <f t="shared" si="122"/>
        <v>0</v>
      </c>
      <c r="J259" s="41">
        <f t="shared" si="122"/>
        <v>0</v>
      </c>
      <c r="K259" s="41">
        <f t="shared" si="122"/>
        <v>0</v>
      </c>
      <c r="L259" s="41">
        <f t="shared" si="122"/>
        <v>0</v>
      </c>
      <c r="M259" s="41">
        <f t="shared" si="122"/>
        <v>0</v>
      </c>
      <c r="N259" s="41">
        <f t="shared" si="122"/>
        <v>0</v>
      </c>
      <c r="O259" s="34"/>
      <c r="P259" s="34"/>
    </row>
    <row r="260" spans="2:16" x14ac:dyDescent="0.25">
      <c r="B260" s="39" t="s">
        <v>130</v>
      </c>
      <c r="C260" s="41">
        <f t="shared" ref="C260:N260" si="123">C243</f>
        <v>214.26666666666688</v>
      </c>
      <c r="D260" s="41">
        <f t="shared" si="123"/>
        <v>-4266.213999999999</v>
      </c>
      <c r="E260" s="41">
        <f t="shared" si="123"/>
        <v>213.78600000000097</v>
      </c>
      <c r="F260" s="41">
        <f t="shared" si="123"/>
        <v>213.78600000000097</v>
      </c>
      <c r="G260" s="41">
        <f t="shared" si="123"/>
        <v>213.78600000000097</v>
      </c>
      <c r="H260" s="41">
        <f t="shared" si="123"/>
        <v>213.78600000000097</v>
      </c>
      <c r="I260" s="41">
        <f t="shared" si="123"/>
        <v>213.78600000000097</v>
      </c>
      <c r="J260" s="41">
        <f t="shared" si="123"/>
        <v>213.78600000000097</v>
      </c>
      <c r="K260" s="41">
        <f t="shared" si="123"/>
        <v>213.78600000000097</v>
      </c>
      <c r="L260" s="41">
        <f t="shared" si="123"/>
        <v>213.78600000000097</v>
      </c>
      <c r="M260" s="41">
        <f t="shared" si="123"/>
        <v>213.78600000000097</v>
      </c>
      <c r="N260" s="41">
        <f t="shared" si="123"/>
        <v>213.78600000000097</v>
      </c>
      <c r="O260" s="34"/>
      <c r="P260" s="34"/>
    </row>
    <row r="261" spans="2:16" x14ac:dyDescent="0.25">
      <c r="B261" s="59" t="s">
        <v>131</v>
      </c>
      <c r="C261" s="59">
        <f>SUM(C252:C260)</f>
        <v>79214.150666666668</v>
      </c>
      <c r="D261" s="59">
        <f t="shared" ref="D261:N261" si="124">SUM(D252:D260)</f>
        <v>47853.670000000006</v>
      </c>
      <c r="E261" s="59">
        <f t="shared" si="124"/>
        <v>52333.670000000006</v>
      </c>
      <c r="F261" s="59">
        <f t="shared" si="124"/>
        <v>52333.670000000006</v>
      </c>
      <c r="G261" s="59">
        <f t="shared" si="124"/>
        <v>52333.670000000006</v>
      </c>
      <c r="H261" s="59">
        <f t="shared" si="124"/>
        <v>52333.670000000006</v>
      </c>
      <c r="I261" s="59">
        <f t="shared" si="124"/>
        <v>52333.670000000006</v>
      </c>
      <c r="J261" s="59">
        <f t="shared" si="124"/>
        <v>52333.670000000006</v>
      </c>
      <c r="K261" s="59">
        <f t="shared" si="124"/>
        <v>52333.670000000006</v>
      </c>
      <c r="L261" s="59">
        <f t="shared" si="124"/>
        <v>60533.670000000006</v>
      </c>
      <c r="M261" s="59">
        <f t="shared" si="124"/>
        <v>52333.670000000006</v>
      </c>
      <c r="N261" s="59">
        <f t="shared" si="124"/>
        <v>52333.670000000006</v>
      </c>
      <c r="O261" s="34"/>
      <c r="P261" s="34"/>
    </row>
    <row r="262" spans="2:16" x14ac:dyDescent="0.25">
      <c r="B262" s="59" t="s">
        <v>132</v>
      </c>
      <c r="C262" s="59">
        <f>V123</f>
        <v>-845699.73333333305</v>
      </c>
      <c r="D262" s="59">
        <f>C264</f>
        <v>-910493.88399999973</v>
      </c>
      <c r="E262" s="59">
        <f t="shared" ref="E262:N262" si="125">D264</f>
        <v>-943494.95399999968</v>
      </c>
      <c r="F262" s="59">
        <f t="shared" si="125"/>
        <v>-980976.02399999963</v>
      </c>
      <c r="G262" s="59">
        <f t="shared" si="125"/>
        <v>-1018457.0939999996</v>
      </c>
      <c r="H262" s="59">
        <f t="shared" si="125"/>
        <v>-1055938.1639999996</v>
      </c>
      <c r="I262" s="59">
        <f t="shared" si="125"/>
        <v>-1093419.2339999997</v>
      </c>
      <c r="J262" s="59">
        <f t="shared" si="125"/>
        <v>-1130900.3039999998</v>
      </c>
      <c r="K262" s="59">
        <f t="shared" si="125"/>
        <v>-1168381.3739999998</v>
      </c>
      <c r="L262" s="59">
        <f t="shared" si="125"/>
        <v>-1205862.4439999999</v>
      </c>
      <c r="M262" s="59">
        <f t="shared" si="125"/>
        <v>-1251543.514</v>
      </c>
      <c r="N262" s="59">
        <f t="shared" si="125"/>
        <v>-1289024.584</v>
      </c>
      <c r="O262" s="34"/>
      <c r="P262" s="34"/>
    </row>
    <row r="263" spans="2:16" x14ac:dyDescent="0.25">
      <c r="B263" s="34" t="s">
        <v>133</v>
      </c>
      <c r="C263" s="34">
        <f t="shared" ref="C263:N263" si="126">C251-C261</f>
        <v>-64794.150666666668</v>
      </c>
      <c r="D263" s="34">
        <f t="shared" si="126"/>
        <v>-33001.07</v>
      </c>
      <c r="E263" s="34">
        <f t="shared" si="126"/>
        <v>-37481.07</v>
      </c>
      <c r="F263" s="34">
        <f t="shared" si="126"/>
        <v>-37481.07</v>
      </c>
      <c r="G263" s="34">
        <f t="shared" si="126"/>
        <v>-37481.07</v>
      </c>
      <c r="H263" s="34">
        <f t="shared" si="126"/>
        <v>-37481.07</v>
      </c>
      <c r="I263" s="34">
        <f t="shared" si="126"/>
        <v>-37481.07</v>
      </c>
      <c r="J263" s="34">
        <f t="shared" si="126"/>
        <v>-37481.07</v>
      </c>
      <c r="K263" s="34">
        <f t="shared" si="126"/>
        <v>-37481.07</v>
      </c>
      <c r="L263" s="34">
        <f t="shared" si="126"/>
        <v>-45681.07</v>
      </c>
      <c r="M263" s="34">
        <f t="shared" si="126"/>
        <v>-37481.07</v>
      </c>
      <c r="N263" s="34">
        <f t="shared" si="126"/>
        <v>-37481.07</v>
      </c>
      <c r="O263" s="34"/>
      <c r="P263" s="34"/>
    </row>
    <row r="264" spans="2:16" x14ac:dyDescent="0.25">
      <c r="B264" s="59" t="s">
        <v>134</v>
      </c>
      <c r="C264" s="59">
        <f>C262+C263</f>
        <v>-910493.88399999973</v>
      </c>
      <c r="D264" s="59">
        <f t="shared" ref="D264:N264" si="127">D262+D263</f>
        <v>-943494.95399999968</v>
      </c>
      <c r="E264" s="59">
        <f t="shared" si="127"/>
        <v>-980976.02399999963</v>
      </c>
      <c r="F264" s="59">
        <f t="shared" si="127"/>
        <v>-1018457.0939999996</v>
      </c>
      <c r="G264" s="59">
        <f t="shared" si="127"/>
        <v>-1055938.1639999996</v>
      </c>
      <c r="H264" s="59">
        <f t="shared" si="127"/>
        <v>-1093419.2339999997</v>
      </c>
      <c r="I264" s="59">
        <f t="shared" si="127"/>
        <v>-1130900.3039999998</v>
      </c>
      <c r="J264" s="59">
        <f t="shared" si="127"/>
        <v>-1168381.3739999998</v>
      </c>
      <c r="K264" s="59">
        <f t="shared" si="127"/>
        <v>-1205862.4439999999</v>
      </c>
      <c r="L264" s="59">
        <f t="shared" si="127"/>
        <v>-1251543.514</v>
      </c>
      <c r="M264" s="59">
        <f t="shared" si="127"/>
        <v>-1289024.584</v>
      </c>
      <c r="N264" s="59">
        <f t="shared" si="127"/>
        <v>-1326505.6540000001</v>
      </c>
      <c r="O264" s="60" t="s">
        <v>164</v>
      </c>
      <c r="P264" s="61">
        <f>N264</f>
        <v>-1326505.6540000001</v>
      </c>
    </row>
    <row r="270" spans="2:16" ht="28.5" x14ac:dyDescent="0.45">
      <c r="B270" s="212" t="s">
        <v>152</v>
      </c>
      <c r="C270" s="212"/>
      <c r="D270" s="212"/>
      <c r="E270" s="212"/>
      <c r="F270" s="212"/>
      <c r="G270" s="212"/>
      <c r="H270" s="212"/>
      <c r="I270" s="212"/>
      <c r="J270" s="212"/>
      <c r="K270" s="212"/>
      <c r="L270" s="212"/>
      <c r="M270" s="212"/>
      <c r="N270" s="212"/>
      <c r="O270" s="212"/>
      <c r="P270" s="212"/>
    </row>
    <row r="272" spans="2:16" x14ac:dyDescent="0.25">
      <c r="B272" s="218" t="s">
        <v>153</v>
      </c>
      <c r="C272" s="218"/>
      <c r="D272" s="218"/>
      <c r="E272" s="218"/>
      <c r="F272" s="218"/>
      <c r="G272" s="218"/>
      <c r="H272" s="218"/>
      <c r="I272" s="218"/>
      <c r="J272" s="218"/>
      <c r="K272" s="218"/>
      <c r="L272" s="218"/>
      <c r="M272" s="218"/>
      <c r="N272" s="218"/>
      <c r="O272" s="218"/>
      <c r="P272" s="218"/>
    </row>
    <row r="273" spans="2:20" x14ac:dyDescent="0.25">
      <c r="B273" s="213"/>
      <c r="C273" s="215" t="s">
        <v>50</v>
      </c>
      <c r="D273" s="215" t="s">
        <v>51</v>
      </c>
      <c r="E273" s="215" t="s">
        <v>52</v>
      </c>
      <c r="F273" s="215" t="s">
        <v>53</v>
      </c>
      <c r="G273" s="215" t="s">
        <v>54</v>
      </c>
      <c r="H273" s="215" t="s">
        <v>55</v>
      </c>
      <c r="I273" s="215" t="s">
        <v>56</v>
      </c>
      <c r="J273" s="215" t="s">
        <v>57</v>
      </c>
      <c r="K273" s="215" t="s">
        <v>58</v>
      </c>
      <c r="L273" s="215" t="s">
        <v>59</v>
      </c>
      <c r="M273" s="215" t="s">
        <v>60</v>
      </c>
      <c r="N273" s="215" t="s">
        <v>61</v>
      </c>
      <c r="O273" s="220" t="s">
        <v>62</v>
      </c>
      <c r="P273" s="221"/>
      <c r="S273" s="222" t="s">
        <v>63</v>
      </c>
      <c r="T273" s="222"/>
    </row>
    <row r="274" spans="2:20" x14ac:dyDescent="0.25">
      <c r="B274" s="214"/>
      <c r="C274" s="216"/>
      <c r="D274" s="216"/>
      <c r="E274" s="216"/>
      <c r="F274" s="216"/>
      <c r="G274" s="216"/>
      <c r="H274" s="216"/>
      <c r="I274" s="216"/>
      <c r="J274" s="216"/>
      <c r="K274" s="216"/>
      <c r="L274" s="216"/>
      <c r="M274" s="216"/>
      <c r="N274" s="216"/>
      <c r="O274" s="58" t="s">
        <v>64</v>
      </c>
      <c r="P274" s="58" t="s">
        <v>65</v>
      </c>
      <c r="S274" s="143" t="s">
        <v>1</v>
      </c>
      <c r="T274" s="21">
        <f>P275</f>
        <v>148526.00000000003</v>
      </c>
    </row>
    <row r="275" spans="2:20" x14ac:dyDescent="0.25">
      <c r="B275" s="35" t="s">
        <v>66</v>
      </c>
      <c r="C275" s="35">
        <f>$P$92*1.03/12</f>
        <v>12377.16666666667</v>
      </c>
      <c r="D275" s="35">
        <f t="shared" ref="D275:N275" si="128">$P$92*1.03/12</f>
        <v>12377.16666666667</v>
      </c>
      <c r="E275" s="35">
        <f t="shared" si="128"/>
        <v>12377.16666666667</v>
      </c>
      <c r="F275" s="35">
        <f t="shared" si="128"/>
        <v>12377.16666666667</v>
      </c>
      <c r="G275" s="35">
        <f t="shared" si="128"/>
        <v>12377.16666666667</v>
      </c>
      <c r="H275" s="35">
        <f t="shared" si="128"/>
        <v>12377.16666666667</v>
      </c>
      <c r="I275" s="35">
        <f t="shared" si="128"/>
        <v>12377.16666666667</v>
      </c>
      <c r="J275" s="35">
        <f t="shared" si="128"/>
        <v>12377.16666666667</v>
      </c>
      <c r="K275" s="35">
        <f t="shared" si="128"/>
        <v>12377.16666666667</v>
      </c>
      <c r="L275" s="35">
        <f t="shared" si="128"/>
        <v>12377.16666666667</v>
      </c>
      <c r="M275" s="35">
        <f t="shared" si="128"/>
        <v>12377.16666666667</v>
      </c>
      <c r="N275" s="35">
        <f t="shared" si="128"/>
        <v>12377.16666666667</v>
      </c>
      <c r="O275" s="60" t="s">
        <v>1</v>
      </c>
      <c r="P275" s="61">
        <f>SUM(C275:N275)</f>
        <v>148526.00000000003</v>
      </c>
      <c r="S275" s="143" t="s">
        <v>67</v>
      </c>
      <c r="T275" s="21">
        <v>0</v>
      </c>
    </row>
    <row r="276" spans="2:20" x14ac:dyDescent="0.25">
      <c r="B276" s="34" t="s">
        <v>68</v>
      </c>
      <c r="C276" s="34">
        <f>C275*20%</f>
        <v>2475.4333333333343</v>
      </c>
      <c r="D276" s="34">
        <f t="shared" ref="D276:N276" si="129">D275*20%</f>
        <v>2475.4333333333343</v>
      </c>
      <c r="E276" s="34">
        <f t="shared" si="129"/>
        <v>2475.4333333333343</v>
      </c>
      <c r="F276" s="34">
        <f t="shared" si="129"/>
        <v>2475.4333333333343</v>
      </c>
      <c r="G276" s="34">
        <f t="shared" si="129"/>
        <v>2475.4333333333343</v>
      </c>
      <c r="H276" s="34">
        <f t="shared" si="129"/>
        <v>2475.4333333333343</v>
      </c>
      <c r="I276" s="34">
        <f t="shared" si="129"/>
        <v>2475.4333333333343</v>
      </c>
      <c r="J276" s="34">
        <f t="shared" si="129"/>
        <v>2475.4333333333343</v>
      </c>
      <c r="K276" s="34">
        <f t="shared" si="129"/>
        <v>2475.4333333333343</v>
      </c>
      <c r="L276" s="34">
        <f t="shared" si="129"/>
        <v>2475.4333333333343</v>
      </c>
      <c r="M276" s="34">
        <f t="shared" si="129"/>
        <v>2475.4333333333343</v>
      </c>
      <c r="N276" s="34">
        <f t="shared" si="129"/>
        <v>2475.4333333333343</v>
      </c>
      <c r="O276" s="34"/>
      <c r="P276" s="34"/>
      <c r="S276" s="144" t="s">
        <v>10</v>
      </c>
      <c r="T276" s="131">
        <f>T274+T275</f>
        <v>148526.00000000003</v>
      </c>
    </row>
    <row r="277" spans="2:20" x14ac:dyDescent="0.25">
      <c r="B277" s="34" t="s">
        <v>69</v>
      </c>
      <c r="C277" s="34">
        <f>C275+C276</f>
        <v>14852.600000000004</v>
      </c>
      <c r="D277" s="34">
        <f t="shared" ref="D277:N277" si="130">D275+D276</f>
        <v>14852.600000000004</v>
      </c>
      <c r="E277" s="34">
        <f t="shared" si="130"/>
        <v>14852.600000000004</v>
      </c>
      <c r="F277" s="34">
        <f t="shared" si="130"/>
        <v>14852.600000000004</v>
      </c>
      <c r="G277" s="34">
        <f t="shared" si="130"/>
        <v>14852.600000000004</v>
      </c>
      <c r="H277" s="34">
        <f t="shared" si="130"/>
        <v>14852.600000000004</v>
      </c>
      <c r="I277" s="34">
        <f t="shared" si="130"/>
        <v>14852.600000000004</v>
      </c>
      <c r="J277" s="34">
        <f t="shared" si="130"/>
        <v>14852.600000000004</v>
      </c>
      <c r="K277" s="34">
        <f t="shared" si="130"/>
        <v>14852.600000000004</v>
      </c>
      <c r="L277" s="34">
        <f t="shared" si="130"/>
        <v>14852.600000000004</v>
      </c>
      <c r="M277" s="34">
        <f t="shared" si="130"/>
        <v>14852.600000000004</v>
      </c>
      <c r="N277" s="34">
        <f t="shared" si="130"/>
        <v>14852.600000000004</v>
      </c>
      <c r="O277" s="34"/>
      <c r="P277" s="34"/>
      <c r="S277" s="143" t="s">
        <v>70</v>
      </c>
      <c r="T277" s="21">
        <f>P284</f>
        <v>50498.84</v>
      </c>
    </row>
    <row r="278" spans="2:20" x14ac:dyDescent="0.25">
      <c r="B278" s="59" t="s">
        <v>139</v>
      </c>
      <c r="C278" s="59">
        <f>V217</f>
        <v>0</v>
      </c>
      <c r="D278" s="59">
        <f>C277</f>
        <v>14852.600000000004</v>
      </c>
      <c r="E278" s="59">
        <f>D277</f>
        <v>14852.600000000004</v>
      </c>
      <c r="F278" s="59">
        <f>E277</f>
        <v>14852.600000000004</v>
      </c>
      <c r="G278" s="59">
        <f>F277</f>
        <v>14852.600000000004</v>
      </c>
      <c r="H278" s="59">
        <f>G277</f>
        <v>14852.600000000004</v>
      </c>
      <c r="I278" s="59">
        <f t="shared" ref="I278" si="131">H277</f>
        <v>14852.600000000004</v>
      </c>
      <c r="J278" s="59">
        <f t="shared" ref="J278" si="132">I277</f>
        <v>14852.600000000004</v>
      </c>
      <c r="K278" s="59">
        <f t="shared" ref="K278" si="133">J277</f>
        <v>14852.600000000004</v>
      </c>
      <c r="L278" s="59">
        <f t="shared" ref="L278" si="134">K277</f>
        <v>14852.600000000004</v>
      </c>
      <c r="M278" s="59">
        <f t="shared" ref="M278" si="135">L277</f>
        <v>14852.600000000004</v>
      </c>
      <c r="N278" s="59">
        <f t="shared" ref="N278" si="136">M277</f>
        <v>14852.600000000004</v>
      </c>
      <c r="O278" s="60" t="s">
        <v>72</v>
      </c>
      <c r="P278" s="61">
        <f>N277</f>
        <v>14852.600000000004</v>
      </c>
      <c r="S278" s="143" t="s">
        <v>73</v>
      </c>
      <c r="T278" s="21">
        <f>P293</f>
        <v>85200</v>
      </c>
    </row>
    <row r="279" spans="2:20" x14ac:dyDescent="0.25">
      <c r="S279" s="143" t="s">
        <v>18</v>
      </c>
      <c r="T279" s="21">
        <f>P309</f>
        <v>0</v>
      </c>
    </row>
    <row r="280" spans="2:20" x14ac:dyDescent="0.25">
      <c r="S280" s="143" t="s">
        <v>20</v>
      </c>
      <c r="T280" s="21">
        <f>P301</f>
        <v>7500</v>
      </c>
    </row>
    <row r="281" spans="2:20" x14ac:dyDescent="0.25">
      <c r="B281" s="230" t="s">
        <v>155</v>
      </c>
      <c r="C281" s="230"/>
      <c r="D281" s="230"/>
      <c r="E281" s="230"/>
      <c r="F281" s="230"/>
      <c r="G281" s="230"/>
      <c r="H281" s="230"/>
      <c r="I281" s="230"/>
      <c r="J281" s="230"/>
      <c r="K281" s="230"/>
      <c r="L281" s="230"/>
      <c r="M281" s="230"/>
      <c r="N281" s="230"/>
      <c r="O281" s="230"/>
      <c r="P281" s="230"/>
      <c r="S281" s="143" t="s">
        <v>21</v>
      </c>
      <c r="T281" s="21">
        <f>P302</f>
        <v>0</v>
      </c>
    </row>
    <row r="282" spans="2:20" x14ac:dyDescent="0.25">
      <c r="B282" s="213"/>
      <c r="C282" s="215" t="s">
        <v>50</v>
      </c>
      <c r="D282" s="215" t="s">
        <v>51</v>
      </c>
      <c r="E282" s="215" t="s">
        <v>52</v>
      </c>
      <c r="F282" s="215" t="s">
        <v>53</v>
      </c>
      <c r="G282" s="215" t="s">
        <v>54</v>
      </c>
      <c r="H282" s="215" t="s">
        <v>55</v>
      </c>
      <c r="I282" s="215" t="s">
        <v>56</v>
      </c>
      <c r="J282" s="215" t="s">
        <v>57</v>
      </c>
      <c r="K282" s="215" t="s">
        <v>58</v>
      </c>
      <c r="L282" s="215" t="s">
        <v>59</v>
      </c>
      <c r="M282" s="215" t="s">
        <v>60</v>
      </c>
      <c r="N282" s="215" t="s">
        <v>61</v>
      </c>
      <c r="O282" s="220" t="s">
        <v>62</v>
      </c>
      <c r="P282" s="221"/>
      <c r="S282" s="143" t="s">
        <v>75</v>
      </c>
      <c r="T282" s="21">
        <f>P298</f>
        <v>0</v>
      </c>
    </row>
    <row r="283" spans="2:20" x14ac:dyDescent="0.25">
      <c r="B283" s="214"/>
      <c r="C283" s="216"/>
      <c r="D283" s="216"/>
      <c r="E283" s="216"/>
      <c r="F283" s="216"/>
      <c r="G283" s="216"/>
      <c r="H283" s="216"/>
      <c r="I283" s="216"/>
      <c r="J283" s="216"/>
      <c r="K283" s="216"/>
      <c r="L283" s="216"/>
      <c r="M283" s="216"/>
      <c r="N283" s="216"/>
      <c r="O283" s="58" t="s">
        <v>64</v>
      </c>
      <c r="P283" s="58" t="s">
        <v>65</v>
      </c>
      <c r="S283" s="144" t="s">
        <v>76</v>
      </c>
      <c r="T283" s="131">
        <f>SUM(T277:T282)</f>
        <v>143198.84</v>
      </c>
    </row>
    <row r="284" spans="2:20" x14ac:dyDescent="0.25">
      <c r="B284" s="35" t="s">
        <v>77</v>
      </c>
      <c r="C284" s="35">
        <f>C275*34%</f>
        <v>4208.2366666666676</v>
      </c>
      <c r="D284" s="35">
        <f t="shared" ref="D284:N284" si="137">D275*34%</f>
        <v>4208.2366666666676</v>
      </c>
      <c r="E284" s="35">
        <f t="shared" si="137"/>
        <v>4208.2366666666676</v>
      </c>
      <c r="F284" s="35">
        <f t="shared" si="137"/>
        <v>4208.2366666666676</v>
      </c>
      <c r="G284" s="35">
        <f t="shared" si="137"/>
        <v>4208.2366666666676</v>
      </c>
      <c r="H284" s="35">
        <f t="shared" si="137"/>
        <v>4208.2366666666676</v>
      </c>
      <c r="I284" s="35">
        <f t="shared" si="137"/>
        <v>4208.2366666666676</v>
      </c>
      <c r="J284" s="35">
        <f t="shared" si="137"/>
        <v>4208.2366666666676</v>
      </c>
      <c r="K284" s="35">
        <f t="shared" si="137"/>
        <v>4208.2366666666676</v>
      </c>
      <c r="L284" s="35">
        <f t="shared" si="137"/>
        <v>4208.2366666666676</v>
      </c>
      <c r="M284" s="35">
        <f t="shared" si="137"/>
        <v>4208.2366666666676</v>
      </c>
      <c r="N284" s="35">
        <f t="shared" si="137"/>
        <v>4208.2366666666676</v>
      </c>
      <c r="O284" s="60" t="s">
        <v>78</v>
      </c>
      <c r="P284" s="61">
        <f>SUM(C284:N284)</f>
        <v>50498.84</v>
      </c>
      <c r="S284" s="154" t="s">
        <v>30</v>
      </c>
      <c r="T284" s="155">
        <f>T276-T283</f>
        <v>5327.1600000000326</v>
      </c>
    </row>
    <row r="285" spans="2:20" x14ac:dyDescent="0.25">
      <c r="B285" s="34" t="s">
        <v>79</v>
      </c>
      <c r="C285" s="34">
        <f>C284*20%</f>
        <v>841.64733333333356</v>
      </c>
      <c r="D285" s="34">
        <f t="shared" ref="D285:N285" si="138">D284*20%</f>
        <v>841.64733333333356</v>
      </c>
      <c r="E285" s="34">
        <f t="shared" si="138"/>
        <v>841.64733333333356</v>
      </c>
      <c r="F285" s="34">
        <f t="shared" si="138"/>
        <v>841.64733333333356</v>
      </c>
      <c r="G285" s="34">
        <f t="shared" si="138"/>
        <v>841.64733333333356</v>
      </c>
      <c r="H285" s="34">
        <f t="shared" si="138"/>
        <v>841.64733333333356</v>
      </c>
      <c r="I285" s="34">
        <f t="shared" si="138"/>
        <v>841.64733333333356</v>
      </c>
      <c r="J285" s="34">
        <f t="shared" si="138"/>
        <v>841.64733333333356</v>
      </c>
      <c r="K285" s="34">
        <f t="shared" si="138"/>
        <v>841.64733333333356</v>
      </c>
      <c r="L285" s="34">
        <f t="shared" si="138"/>
        <v>841.64733333333356</v>
      </c>
      <c r="M285" s="34">
        <f t="shared" si="138"/>
        <v>841.64733333333356</v>
      </c>
      <c r="N285" s="34">
        <f t="shared" si="138"/>
        <v>841.64733333333356</v>
      </c>
      <c r="O285" s="34"/>
      <c r="P285" s="34"/>
      <c r="S285" s="144" t="s">
        <v>33</v>
      </c>
      <c r="T285" s="131">
        <v>0</v>
      </c>
    </row>
    <row r="286" spans="2:20" x14ac:dyDescent="0.25">
      <c r="B286" s="34" t="s">
        <v>80</v>
      </c>
      <c r="C286" s="34">
        <f>C284+C285</f>
        <v>5049.8840000000009</v>
      </c>
      <c r="D286" s="34">
        <f t="shared" ref="D286:N286" si="139">D284+D285</f>
        <v>5049.8840000000009</v>
      </c>
      <c r="E286" s="34">
        <f t="shared" si="139"/>
        <v>5049.8840000000009</v>
      </c>
      <c r="F286" s="34">
        <f t="shared" si="139"/>
        <v>5049.8840000000009</v>
      </c>
      <c r="G286" s="34">
        <f t="shared" si="139"/>
        <v>5049.8840000000009</v>
      </c>
      <c r="H286" s="34">
        <f t="shared" si="139"/>
        <v>5049.8840000000009</v>
      </c>
      <c r="I286" s="34">
        <f t="shared" si="139"/>
        <v>5049.8840000000009</v>
      </c>
      <c r="J286" s="34">
        <f t="shared" si="139"/>
        <v>5049.8840000000009</v>
      </c>
      <c r="K286" s="34">
        <f t="shared" si="139"/>
        <v>5049.8840000000009</v>
      </c>
      <c r="L286" s="34">
        <f t="shared" si="139"/>
        <v>5049.8840000000009</v>
      </c>
      <c r="M286" s="34">
        <f t="shared" si="139"/>
        <v>5049.8840000000009</v>
      </c>
      <c r="N286" s="34">
        <f t="shared" si="139"/>
        <v>5049.8840000000009</v>
      </c>
      <c r="O286" s="34"/>
      <c r="P286" s="34"/>
      <c r="S286" s="143" t="s">
        <v>36</v>
      </c>
      <c r="T286" s="21">
        <f>P311</f>
        <v>8200</v>
      </c>
    </row>
    <row r="287" spans="2:20" x14ac:dyDescent="0.25">
      <c r="B287" s="59" t="s">
        <v>81</v>
      </c>
      <c r="C287" s="59">
        <f>C286</f>
        <v>5049.8840000000009</v>
      </c>
      <c r="D287" s="59">
        <f>D286</f>
        <v>5049.8840000000009</v>
      </c>
      <c r="E287" s="59">
        <f t="shared" ref="E287:N287" si="140">E286</f>
        <v>5049.8840000000009</v>
      </c>
      <c r="F287" s="59">
        <f t="shared" si="140"/>
        <v>5049.8840000000009</v>
      </c>
      <c r="G287" s="59">
        <f t="shared" si="140"/>
        <v>5049.8840000000009</v>
      </c>
      <c r="H287" s="59">
        <f t="shared" si="140"/>
        <v>5049.8840000000009</v>
      </c>
      <c r="I287" s="59">
        <f t="shared" si="140"/>
        <v>5049.8840000000009</v>
      </c>
      <c r="J287" s="59">
        <f t="shared" si="140"/>
        <v>5049.8840000000009</v>
      </c>
      <c r="K287" s="59">
        <f t="shared" si="140"/>
        <v>5049.8840000000009</v>
      </c>
      <c r="L287" s="59">
        <f t="shared" si="140"/>
        <v>5049.8840000000009</v>
      </c>
      <c r="M287" s="59">
        <f t="shared" si="140"/>
        <v>5049.8840000000009</v>
      </c>
      <c r="N287" s="59">
        <f t="shared" si="140"/>
        <v>5049.8840000000009</v>
      </c>
      <c r="O287" s="60" t="s">
        <v>82</v>
      </c>
      <c r="P287" s="61">
        <v>0</v>
      </c>
      <c r="S287" s="144" t="s">
        <v>37</v>
      </c>
      <c r="T287" s="131">
        <f>T286</f>
        <v>8200</v>
      </c>
    </row>
    <row r="288" spans="2:20" x14ac:dyDescent="0.25">
      <c r="S288" s="154" t="s">
        <v>40</v>
      </c>
      <c r="T288" s="155">
        <f>T285-T287</f>
        <v>-8200</v>
      </c>
    </row>
    <row r="289" spans="2:24" x14ac:dyDescent="0.25">
      <c r="S289" s="154" t="s">
        <v>43</v>
      </c>
      <c r="T289" s="155">
        <f>T284-(-T288)</f>
        <v>-2872.8399999999674</v>
      </c>
    </row>
    <row r="290" spans="2:24" x14ac:dyDescent="0.25">
      <c r="B290" s="230" t="s">
        <v>156</v>
      </c>
      <c r="C290" s="230"/>
      <c r="D290" s="230"/>
      <c r="E290" s="230"/>
      <c r="F290" s="230"/>
      <c r="G290" s="230"/>
      <c r="H290" s="230"/>
      <c r="I290" s="230"/>
      <c r="J290" s="230"/>
      <c r="K290" s="230"/>
      <c r="L290" s="230"/>
      <c r="M290" s="230"/>
      <c r="N290" s="230"/>
      <c r="O290" s="230"/>
      <c r="P290" s="230"/>
      <c r="S290" s="154" t="s">
        <v>45</v>
      </c>
      <c r="T290" s="21"/>
    </row>
    <row r="291" spans="2:24" x14ac:dyDescent="0.25">
      <c r="B291" s="213"/>
      <c r="C291" s="215" t="s">
        <v>50</v>
      </c>
      <c r="D291" s="215" t="s">
        <v>51</v>
      </c>
      <c r="E291" s="215" t="s">
        <v>52</v>
      </c>
      <c r="F291" s="215" t="s">
        <v>53</v>
      </c>
      <c r="G291" s="215" t="s">
        <v>54</v>
      </c>
      <c r="H291" s="215" t="s">
        <v>55</v>
      </c>
      <c r="I291" s="215" t="s">
        <v>56</v>
      </c>
      <c r="J291" s="215" t="s">
        <v>57</v>
      </c>
      <c r="K291" s="215" t="s">
        <v>58</v>
      </c>
      <c r="L291" s="215" t="s">
        <v>59</v>
      </c>
      <c r="M291" s="215" t="s">
        <v>60</v>
      </c>
      <c r="N291" s="215" t="s">
        <v>61</v>
      </c>
      <c r="O291" s="220" t="s">
        <v>62</v>
      </c>
      <c r="P291" s="221"/>
      <c r="S291" s="160" t="s">
        <v>47</v>
      </c>
      <c r="T291" s="161">
        <f>T289</f>
        <v>-2872.8399999999674</v>
      </c>
    </row>
    <row r="292" spans="2:24" x14ac:dyDescent="0.25">
      <c r="B292" s="231"/>
      <c r="C292" s="232"/>
      <c r="D292" s="232"/>
      <c r="E292" s="232"/>
      <c r="F292" s="232"/>
      <c r="G292" s="232"/>
      <c r="H292" s="232"/>
      <c r="I292" s="232"/>
      <c r="J292" s="232"/>
      <c r="K292" s="232"/>
      <c r="L292" s="232"/>
      <c r="M292" s="232"/>
      <c r="N292" s="232"/>
      <c r="O292" s="58" t="s">
        <v>64</v>
      </c>
      <c r="P292" s="58" t="s">
        <v>65</v>
      </c>
    </row>
    <row r="293" spans="2:24" x14ac:dyDescent="0.25">
      <c r="B293" s="21" t="s">
        <v>84</v>
      </c>
      <c r="C293" s="21">
        <v>7100</v>
      </c>
      <c r="D293" s="21">
        <v>7100</v>
      </c>
      <c r="E293" s="21">
        <v>7100</v>
      </c>
      <c r="F293" s="21">
        <v>7100</v>
      </c>
      <c r="G293" s="21">
        <v>7100</v>
      </c>
      <c r="H293" s="21">
        <v>7100</v>
      </c>
      <c r="I293" s="21">
        <v>7100</v>
      </c>
      <c r="J293" s="21">
        <v>7100</v>
      </c>
      <c r="K293" s="21">
        <v>7100</v>
      </c>
      <c r="L293" s="21">
        <v>7100</v>
      </c>
      <c r="M293" s="21">
        <v>7100</v>
      </c>
      <c r="N293" s="22">
        <v>7100</v>
      </c>
      <c r="O293" s="60" t="s">
        <v>85</v>
      </c>
      <c r="P293" s="61">
        <f>SUM(C293:N293)</f>
        <v>85200</v>
      </c>
    </row>
    <row r="294" spans="2:24" x14ac:dyDescent="0.25">
      <c r="B294" s="21" t="s">
        <v>86</v>
      </c>
      <c r="C294" s="21">
        <f>C293*20%</f>
        <v>1420</v>
      </c>
      <c r="D294" s="21">
        <f t="shared" ref="D294:N294" si="141">D293*20%</f>
        <v>1420</v>
      </c>
      <c r="E294" s="21">
        <f t="shared" si="141"/>
        <v>1420</v>
      </c>
      <c r="F294" s="21">
        <f t="shared" si="141"/>
        <v>1420</v>
      </c>
      <c r="G294" s="21">
        <f t="shared" si="141"/>
        <v>1420</v>
      </c>
      <c r="H294" s="21">
        <f t="shared" si="141"/>
        <v>1420</v>
      </c>
      <c r="I294" s="21">
        <f t="shared" si="141"/>
        <v>1420</v>
      </c>
      <c r="J294" s="21">
        <f t="shared" si="141"/>
        <v>1420</v>
      </c>
      <c r="K294" s="21">
        <f t="shared" si="141"/>
        <v>1420</v>
      </c>
      <c r="L294" s="21">
        <f t="shared" si="141"/>
        <v>1420</v>
      </c>
      <c r="M294" s="21">
        <f t="shared" si="141"/>
        <v>1420</v>
      </c>
      <c r="N294" s="22">
        <f t="shared" si="141"/>
        <v>1420</v>
      </c>
      <c r="O294" s="47"/>
      <c r="P294" s="48"/>
    </row>
    <row r="295" spans="2:24" x14ac:dyDescent="0.25">
      <c r="B295" s="23" t="s">
        <v>87</v>
      </c>
      <c r="C295" s="23">
        <f>C293+C294</f>
        <v>8520</v>
      </c>
      <c r="D295" s="23">
        <f t="shared" ref="D295:N295" si="142">D293+D294</f>
        <v>8520</v>
      </c>
      <c r="E295" s="23">
        <f t="shared" si="142"/>
        <v>8520</v>
      </c>
      <c r="F295" s="23">
        <f t="shared" si="142"/>
        <v>8520</v>
      </c>
      <c r="G295" s="23">
        <f t="shared" si="142"/>
        <v>8520</v>
      </c>
      <c r="H295" s="23">
        <f t="shared" si="142"/>
        <v>8520</v>
      </c>
      <c r="I295" s="23">
        <f t="shared" si="142"/>
        <v>8520</v>
      </c>
      <c r="J295" s="23">
        <f t="shared" si="142"/>
        <v>8520</v>
      </c>
      <c r="K295" s="23">
        <f t="shared" si="142"/>
        <v>8520</v>
      </c>
      <c r="L295" s="23">
        <f t="shared" si="142"/>
        <v>8520</v>
      </c>
      <c r="M295" s="23">
        <f t="shared" si="142"/>
        <v>8520</v>
      </c>
      <c r="N295" s="25">
        <f t="shared" si="142"/>
        <v>8520</v>
      </c>
      <c r="O295" s="34"/>
      <c r="P295" s="34"/>
      <c r="S295" s="223" t="s">
        <v>88</v>
      </c>
      <c r="T295" s="224"/>
      <c r="U295" s="224"/>
      <c r="V295" s="224"/>
      <c r="W295" s="224"/>
      <c r="X295" s="224"/>
    </row>
    <row r="296" spans="2:24" ht="30" x14ac:dyDescent="0.25">
      <c r="B296" s="59" t="s">
        <v>81</v>
      </c>
      <c r="C296" s="59">
        <f>+C293+C294</f>
        <v>8520</v>
      </c>
      <c r="D296" s="59">
        <f t="shared" ref="D296:N296" si="143">+D293+D294</f>
        <v>8520</v>
      </c>
      <c r="E296" s="59">
        <f t="shared" si="143"/>
        <v>8520</v>
      </c>
      <c r="F296" s="59">
        <f t="shared" si="143"/>
        <v>8520</v>
      </c>
      <c r="G296" s="59">
        <f t="shared" si="143"/>
        <v>8520</v>
      </c>
      <c r="H296" s="59">
        <f t="shared" si="143"/>
        <v>8520</v>
      </c>
      <c r="I296" s="59">
        <f t="shared" si="143"/>
        <v>8520</v>
      </c>
      <c r="J296" s="59">
        <f t="shared" si="143"/>
        <v>8520</v>
      </c>
      <c r="K296" s="59">
        <f t="shared" si="143"/>
        <v>8520</v>
      </c>
      <c r="L296" s="59">
        <f t="shared" si="143"/>
        <v>8520</v>
      </c>
      <c r="M296" s="59">
        <f t="shared" si="143"/>
        <v>8520</v>
      </c>
      <c r="N296" s="59">
        <f t="shared" si="143"/>
        <v>8520</v>
      </c>
      <c r="O296" s="47"/>
      <c r="P296" s="34"/>
      <c r="S296" s="144" t="s">
        <v>2</v>
      </c>
      <c r="T296" s="145" t="s">
        <v>3</v>
      </c>
      <c r="U296" s="145" t="s">
        <v>4</v>
      </c>
      <c r="V296" s="145" t="s">
        <v>5</v>
      </c>
      <c r="W296" s="146" t="s">
        <v>6</v>
      </c>
      <c r="X296" s="147" t="s">
        <v>5</v>
      </c>
    </row>
    <row r="297" spans="2:24" x14ac:dyDescent="0.25">
      <c r="B297" s="28" t="s">
        <v>89</v>
      </c>
      <c r="C297" s="21"/>
      <c r="D297" s="21"/>
      <c r="E297" s="21"/>
      <c r="F297" s="21"/>
      <c r="G297" s="21"/>
      <c r="H297" s="21"/>
      <c r="I297" s="21"/>
      <c r="J297" s="21"/>
      <c r="K297" s="21"/>
      <c r="L297" s="21"/>
      <c r="M297" s="21"/>
      <c r="N297" s="22">
        <v>7500</v>
      </c>
      <c r="O297" s="47"/>
      <c r="P297" s="48"/>
      <c r="S297" s="148" t="s">
        <v>8</v>
      </c>
      <c r="T297" s="148">
        <f>SUM(T298:T301)</f>
        <v>236500</v>
      </c>
      <c r="U297" s="148">
        <f>SUM(U298:U299)</f>
        <v>39100</v>
      </c>
      <c r="V297" s="148">
        <f>SUM(V298:V299)</f>
        <v>197400</v>
      </c>
      <c r="W297" s="148" t="s">
        <v>9</v>
      </c>
      <c r="X297" s="149">
        <f>SUM(X298:X301)</f>
        <v>70027.160000000033</v>
      </c>
    </row>
    <row r="298" spans="2:24" x14ac:dyDescent="0.25">
      <c r="B298" s="26" t="s">
        <v>144</v>
      </c>
      <c r="C298" s="27"/>
      <c r="D298" s="21"/>
      <c r="E298" s="21"/>
      <c r="F298" s="21"/>
      <c r="G298" s="21"/>
      <c r="H298" s="21"/>
      <c r="I298" s="21"/>
      <c r="J298" s="21"/>
      <c r="K298" s="21"/>
      <c r="L298" s="21"/>
      <c r="M298" s="21"/>
      <c r="N298" s="22">
        <f>Emprunt!K99</f>
        <v>0</v>
      </c>
      <c r="O298" s="60" t="s">
        <v>90</v>
      </c>
      <c r="P298" s="61">
        <f>N298</f>
        <v>0</v>
      </c>
      <c r="S298" s="150" t="s">
        <v>11</v>
      </c>
      <c r="T298" s="150">
        <v>159000</v>
      </c>
      <c r="U298" s="150">
        <f>8500+AB301</f>
        <v>8500</v>
      </c>
      <c r="V298" s="150">
        <f>T298-U298</f>
        <v>150500</v>
      </c>
      <c r="W298" s="150" t="s">
        <v>12</v>
      </c>
      <c r="X298" s="151">
        <v>50000</v>
      </c>
    </row>
    <row r="299" spans="2:24" x14ac:dyDescent="0.25">
      <c r="B299" s="30" t="s">
        <v>145</v>
      </c>
      <c r="C299" s="31"/>
      <c r="D299" s="31"/>
      <c r="E299" s="31"/>
      <c r="F299" s="31"/>
      <c r="G299" s="31"/>
      <c r="H299" s="31"/>
      <c r="I299" s="31"/>
      <c r="J299" s="31"/>
      <c r="K299" s="31"/>
      <c r="L299" s="31"/>
      <c r="M299" s="31"/>
      <c r="N299" s="32">
        <f>Emprunt!K108</f>
        <v>0</v>
      </c>
      <c r="O299" s="60" t="s">
        <v>90</v>
      </c>
      <c r="P299" s="61">
        <f t="shared" ref="P299:P300" si="144">N299</f>
        <v>0</v>
      </c>
      <c r="S299" s="150" t="s">
        <v>14</v>
      </c>
      <c r="T299" s="150">
        <f>55000+22500</f>
        <v>77500</v>
      </c>
      <c r="U299" s="150">
        <f>30600+AA300+P297</f>
        <v>30600</v>
      </c>
      <c r="V299" s="150">
        <f>T299-U299</f>
        <v>46900</v>
      </c>
      <c r="W299" s="150" t="s">
        <v>15</v>
      </c>
      <c r="X299" s="151">
        <v>5000</v>
      </c>
    </row>
    <row r="300" spans="2:24" ht="30" x14ac:dyDescent="0.25">
      <c r="B300" s="24" t="s">
        <v>158</v>
      </c>
      <c r="C300" s="21"/>
      <c r="D300" s="21"/>
      <c r="E300" s="21"/>
      <c r="F300" s="21"/>
      <c r="G300" s="21"/>
      <c r="H300" s="21"/>
      <c r="I300" s="21"/>
      <c r="J300" s="21"/>
      <c r="K300" s="21"/>
      <c r="L300" s="21"/>
      <c r="M300" s="21"/>
      <c r="N300" s="32">
        <f>Emprunt!K121</f>
        <v>0</v>
      </c>
      <c r="O300" s="60" t="s">
        <v>90</v>
      </c>
      <c r="P300" s="61">
        <f t="shared" si="144"/>
        <v>0</v>
      </c>
      <c r="S300" s="148"/>
      <c r="T300" s="148"/>
      <c r="U300" s="148"/>
      <c r="V300" s="148"/>
      <c r="W300" s="150" t="s">
        <v>17</v>
      </c>
      <c r="X300" s="151">
        <f>17900+'Bilan et CDR N'!C293</f>
        <v>17900</v>
      </c>
    </row>
    <row r="301" spans="2:24" x14ac:dyDescent="0.25">
      <c r="B301" s="59" t="s">
        <v>94</v>
      </c>
      <c r="C301" s="59">
        <f>C297+C298</f>
        <v>0</v>
      </c>
      <c r="D301" s="59">
        <f t="shared" ref="D301:M301" si="145">D297+D298</f>
        <v>0</v>
      </c>
      <c r="E301" s="59">
        <f t="shared" si="145"/>
        <v>0</v>
      </c>
      <c r="F301" s="59">
        <f t="shared" si="145"/>
        <v>0</v>
      </c>
      <c r="G301" s="59">
        <f t="shared" si="145"/>
        <v>0</v>
      </c>
      <c r="H301" s="59">
        <f t="shared" si="145"/>
        <v>0</v>
      </c>
      <c r="I301" s="59">
        <f t="shared" si="145"/>
        <v>0</v>
      </c>
      <c r="J301" s="59">
        <f t="shared" si="145"/>
        <v>0</v>
      </c>
      <c r="K301" s="59">
        <f t="shared" si="145"/>
        <v>0</v>
      </c>
      <c r="L301" s="59">
        <f t="shared" si="145"/>
        <v>0</v>
      </c>
      <c r="M301" s="59">
        <f t="shared" si="145"/>
        <v>0</v>
      </c>
      <c r="N301" s="59">
        <f>N297+N298+N299+N300</f>
        <v>7500</v>
      </c>
      <c r="O301" s="60" t="s">
        <v>93</v>
      </c>
      <c r="P301" s="61">
        <f>SUM(C301:N301)</f>
        <v>7500</v>
      </c>
      <c r="S301" s="150"/>
      <c r="T301" s="150"/>
      <c r="U301" s="150"/>
      <c r="V301" s="150"/>
      <c r="W301" s="150" t="s">
        <v>19</v>
      </c>
      <c r="X301" s="151">
        <f>T291</f>
        <v>-2872.8399999999674</v>
      </c>
    </row>
    <row r="302" spans="2:24" x14ac:dyDescent="0.25">
      <c r="B302" s="21" t="s">
        <v>95</v>
      </c>
      <c r="C302" s="21">
        <f t="shared" ref="C302:N302" si="146">307500/12</f>
        <v>25625</v>
      </c>
      <c r="D302" s="21">
        <f t="shared" si="146"/>
        <v>25625</v>
      </c>
      <c r="E302" s="21">
        <f t="shared" si="146"/>
        <v>25625</v>
      </c>
      <c r="F302" s="21">
        <f t="shared" si="146"/>
        <v>25625</v>
      </c>
      <c r="G302" s="21">
        <f t="shared" si="146"/>
        <v>25625</v>
      </c>
      <c r="H302" s="21">
        <f t="shared" si="146"/>
        <v>25625</v>
      </c>
      <c r="I302" s="21">
        <f t="shared" si="146"/>
        <v>25625</v>
      </c>
      <c r="J302" s="21">
        <f t="shared" si="146"/>
        <v>25625</v>
      </c>
      <c r="K302" s="21">
        <f t="shared" si="146"/>
        <v>25625</v>
      </c>
      <c r="L302" s="21">
        <f t="shared" si="146"/>
        <v>25625</v>
      </c>
      <c r="M302" s="21">
        <f t="shared" si="146"/>
        <v>25625</v>
      </c>
      <c r="N302" s="22">
        <f t="shared" si="146"/>
        <v>25625</v>
      </c>
      <c r="O302" s="47"/>
      <c r="P302" s="48"/>
      <c r="S302" s="152"/>
      <c r="T302" s="153"/>
      <c r="V302" s="153"/>
      <c r="W302" s="151"/>
      <c r="X302" s="149"/>
    </row>
    <row r="303" spans="2:24" x14ac:dyDescent="0.25">
      <c r="B303" s="59" t="s">
        <v>96</v>
      </c>
      <c r="C303" s="59">
        <f t="shared" ref="C303:N303" si="147">C302</f>
        <v>25625</v>
      </c>
      <c r="D303" s="59">
        <f t="shared" si="147"/>
        <v>25625</v>
      </c>
      <c r="E303" s="59">
        <f t="shared" si="147"/>
        <v>25625</v>
      </c>
      <c r="F303" s="59">
        <f t="shared" si="147"/>
        <v>25625</v>
      </c>
      <c r="G303" s="59">
        <f t="shared" si="147"/>
        <v>25625</v>
      </c>
      <c r="H303" s="59">
        <f t="shared" si="147"/>
        <v>25625</v>
      </c>
      <c r="I303" s="59">
        <f t="shared" si="147"/>
        <v>25625</v>
      </c>
      <c r="J303" s="59">
        <f t="shared" si="147"/>
        <v>25625</v>
      </c>
      <c r="K303" s="59">
        <f t="shared" si="147"/>
        <v>25625</v>
      </c>
      <c r="L303" s="59">
        <f t="shared" si="147"/>
        <v>25625</v>
      </c>
      <c r="M303" s="59">
        <f t="shared" si="147"/>
        <v>25625</v>
      </c>
      <c r="N303" s="59">
        <f t="shared" si="147"/>
        <v>25625</v>
      </c>
      <c r="O303" s="60" t="s">
        <v>97</v>
      </c>
      <c r="P303" s="61">
        <f>SUM(C303:N303)</f>
        <v>307500</v>
      </c>
      <c r="S303" s="148" t="s">
        <v>22</v>
      </c>
      <c r="T303" s="148">
        <f>SUM(T304:T306)</f>
        <v>-395027.98400000005</v>
      </c>
      <c r="U303" s="148">
        <f>SUM(U304:U306)</f>
        <v>0</v>
      </c>
      <c r="V303" s="148">
        <f>SUM(V304:V306)</f>
        <v>-395027.98400000005</v>
      </c>
      <c r="W303" s="148" t="s">
        <v>23</v>
      </c>
      <c r="X303" s="149">
        <f>SUM(X304:X307)</f>
        <v>307500</v>
      </c>
    </row>
    <row r="304" spans="2:24" ht="30" x14ac:dyDescent="0.25">
      <c r="B304" s="21" t="s">
        <v>21</v>
      </c>
      <c r="C304" s="21">
        <f t="shared" ref="C304:N304" si="148">C302*0.4</f>
        <v>10250</v>
      </c>
      <c r="D304" s="21">
        <f t="shared" si="148"/>
        <v>10250</v>
      </c>
      <c r="E304" s="21">
        <f t="shared" si="148"/>
        <v>10250</v>
      </c>
      <c r="F304" s="21">
        <f t="shared" si="148"/>
        <v>10250</v>
      </c>
      <c r="G304" s="21">
        <f t="shared" si="148"/>
        <v>10250</v>
      </c>
      <c r="H304" s="21">
        <f t="shared" si="148"/>
        <v>10250</v>
      </c>
      <c r="I304" s="21">
        <f t="shared" si="148"/>
        <v>10250</v>
      </c>
      <c r="J304" s="21">
        <f t="shared" si="148"/>
        <v>10250</v>
      </c>
      <c r="K304" s="21">
        <f t="shared" si="148"/>
        <v>10250</v>
      </c>
      <c r="L304" s="21">
        <f t="shared" si="148"/>
        <v>10250</v>
      </c>
      <c r="M304" s="21">
        <f t="shared" si="148"/>
        <v>10250</v>
      </c>
      <c r="N304" s="22">
        <f t="shared" si="148"/>
        <v>10250</v>
      </c>
      <c r="O304" s="60" t="s">
        <v>98</v>
      </c>
      <c r="P304" s="61">
        <f>SUM(C304:N304)</f>
        <v>123000</v>
      </c>
      <c r="S304" s="150" t="s">
        <v>25</v>
      </c>
      <c r="T304" s="150">
        <v>15000</v>
      </c>
      <c r="U304" s="150"/>
      <c r="V304" s="150">
        <f>T304-U304</f>
        <v>15000</v>
      </c>
      <c r="W304" s="150" t="s">
        <v>26</v>
      </c>
      <c r="X304" s="151">
        <f>Emprunt!G279</f>
        <v>0</v>
      </c>
    </row>
    <row r="305" spans="2:24" ht="30" x14ac:dyDescent="0.25">
      <c r="B305" s="59" t="s">
        <v>99</v>
      </c>
      <c r="C305" s="59">
        <f>P216</f>
        <v>0</v>
      </c>
      <c r="D305" s="59">
        <f t="shared" ref="D305" si="149">C304</f>
        <v>10250</v>
      </c>
      <c r="E305" s="59">
        <f t="shared" ref="E305" si="150">D304</f>
        <v>10250</v>
      </c>
      <c r="F305" s="59">
        <f t="shared" ref="F305" si="151">E304</f>
        <v>10250</v>
      </c>
      <c r="G305" s="59">
        <f t="shared" ref="G305" si="152">F304</f>
        <v>10250</v>
      </c>
      <c r="H305" s="59">
        <f t="shared" ref="H305" si="153">G304</f>
        <v>10250</v>
      </c>
      <c r="I305" s="59">
        <f t="shared" ref="I305" si="154">H304</f>
        <v>10250</v>
      </c>
      <c r="J305" s="59">
        <f t="shared" ref="J305" si="155">I304</f>
        <v>10250</v>
      </c>
      <c r="K305" s="59">
        <f t="shared" ref="K305" si="156">J304</f>
        <v>10250</v>
      </c>
      <c r="L305" s="59">
        <f t="shared" ref="L305" si="157">K304</f>
        <v>10250</v>
      </c>
      <c r="M305" s="59">
        <f t="shared" ref="M305" si="158">L304</f>
        <v>10250</v>
      </c>
      <c r="N305" s="59">
        <f t="shared" ref="N305" si="159">M304</f>
        <v>10250</v>
      </c>
      <c r="O305" s="60" t="s">
        <v>100</v>
      </c>
      <c r="P305" s="61">
        <f>N304</f>
        <v>10250</v>
      </c>
      <c r="S305" s="150" t="s">
        <v>28</v>
      </c>
      <c r="T305" s="150">
        <f>P278</f>
        <v>14852.600000000004</v>
      </c>
      <c r="U305" s="150"/>
      <c r="V305" s="150">
        <f>T305-U305</f>
        <v>14852.600000000004</v>
      </c>
      <c r="W305" s="150" t="s">
        <v>29</v>
      </c>
      <c r="X305" s="151">
        <f>P334+P303</f>
        <v>307500</v>
      </c>
    </row>
    <row r="306" spans="2:24" ht="30" x14ac:dyDescent="0.25">
      <c r="S306" s="150" t="s">
        <v>34</v>
      </c>
      <c r="T306" s="150">
        <f>N355</f>
        <v>-424880.58400000003</v>
      </c>
      <c r="U306" s="150"/>
      <c r="V306" s="150">
        <f>T306-U306</f>
        <v>-424880.58400000003</v>
      </c>
      <c r="W306" s="150" t="s">
        <v>32</v>
      </c>
      <c r="X306" s="151">
        <f>'HYP 1 '!AC355+'HYP 1 '!AC324</f>
        <v>0</v>
      </c>
    </row>
    <row r="307" spans="2:24" x14ac:dyDescent="0.25">
      <c r="S307" s="150"/>
      <c r="T307" s="150"/>
      <c r="U307" s="150"/>
      <c r="V307" s="150"/>
      <c r="W307" s="150"/>
      <c r="X307" s="151"/>
    </row>
    <row r="308" spans="2:24" x14ac:dyDescent="0.25">
      <c r="B308" s="219" t="s">
        <v>160</v>
      </c>
      <c r="C308" s="219"/>
      <c r="D308" s="219"/>
      <c r="E308" s="219"/>
      <c r="F308" s="219"/>
      <c r="G308" s="219"/>
      <c r="H308" s="219"/>
      <c r="I308" s="219"/>
      <c r="J308" s="219"/>
      <c r="K308" s="219"/>
      <c r="L308" s="219"/>
      <c r="M308" s="219"/>
      <c r="N308" s="219"/>
      <c r="O308" s="219"/>
      <c r="P308" s="219"/>
      <c r="S308" s="156" t="s">
        <v>38</v>
      </c>
      <c r="T308" s="156">
        <f>T297+T303</f>
        <v>-158527.98400000005</v>
      </c>
      <c r="U308" s="156">
        <f>U297</f>
        <v>39100</v>
      </c>
      <c r="V308" s="156">
        <f>T308-U308</f>
        <v>-197627.98400000005</v>
      </c>
      <c r="W308" s="156" t="s">
        <v>39</v>
      </c>
      <c r="X308" s="157">
        <f>X297+X303</f>
        <v>377527.16000000003</v>
      </c>
    </row>
    <row r="309" spans="2:24" x14ac:dyDescent="0.25">
      <c r="B309" s="213"/>
      <c r="C309" s="215" t="s">
        <v>50</v>
      </c>
      <c r="D309" s="215" t="s">
        <v>51</v>
      </c>
      <c r="E309" s="215" t="s">
        <v>52</v>
      </c>
      <c r="F309" s="215" t="s">
        <v>53</v>
      </c>
      <c r="G309" s="215" t="s">
        <v>54</v>
      </c>
      <c r="H309" s="215" t="s">
        <v>55</v>
      </c>
      <c r="I309" s="215" t="s">
        <v>56</v>
      </c>
      <c r="J309" s="215" t="s">
        <v>57</v>
      </c>
      <c r="K309" s="215" t="s">
        <v>58</v>
      </c>
      <c r="L309" s="215" t="s">
        <v>59</v>
      </c>
      <c r="M309" s="215" t="s">
        <v>60</v>
      </c>
      <c r="N309" s="215" t="s">
        <v>61</v>
      </c>
      <c r="O309" s="220" t="s">
        <v>62</v>
      </c>
      <c r="P309" s="221"/>
    </row>
    <row r="310" spans="2:24" x14ac:dyDescent="0.25">
      <c r="B310" s="214"/>
      <c r="C310" s="216"/>
      <c r="D310" s="216"/>
      <c r="E310" s="216"/>
      <c r="F310" s="216"/>
      <c r="G310" s="216"/>
      <c r="H310" s="216"/>
      <c r="I310" s="216"/>
      <c r="J310" s="216"/>
      <c r="K310" s="216"/>
      <c r="L310" s="216"/>
      <c r="M310" s="216"/>
      <c r="N310" s="216"/>
      <c r="O310" s="58" t="s">
        <v>64</v>
      </c>
      <c r="P310" s="58" t="s">
        <v>65</v>
      </c>
    </row>
    <row r="311" spans="2:24" x14ac:dyDescent="0.25">
      <c r="B311" s="46" t="s">
        <v>102</v>
      </c>
      <c r="C311" s="35"/>
      <c r="D311" s="35"/>
      <c r="E311" s="35"/>
      <c r="F311" s="35"/>
      <c r="G311" s="35"/>
      <c r="H311" s="35"/>
      <c r="I311" s="35"/>
      <c r="J311" s="35"/>
      <c r="K311" s="35"/>
      <c r="L311" s="35">
        <v>8200</v>
      </c>
      <c r="M311" s="35"/>
      <c r="N311" s="35"/>
      <c r="O311" s="60" t="s">
        <v>103</v>
      </c>
      <c r="P311" s="61">
        <f>SUM(C311:N311)</f>
        <v>8200</v>
      </c>
    </row>
    <row r="312" spans="2:24" x14ac:dyDescent="0.25">
      <c r="B312" s="34" t="s">
        <v>105</v>
      </c>
      <c r="C312" s="34"/>
      <c r="D312" s="34"/>
      <c r="E312" s="34"/>
      <c r="F312" s="34"/>
      <c r="G312" s="34"/>
      <c r="H312" s="34"/>
      <c r="I312" s="34"/>
      <c r="J312" s="34"/>
      <c r="K312" s="34"/>
      <c r="L312" s="35">
        <v>8200</v>
      </c>
      <c r="M312" s="34"/>
      <c r="N312" s="34"/>
      <c r="O312" s="34"/>
      <c r="P312" s="34"/>
    </row>
    <row r="313" spans="2:24" x14ac:dyDescent="0.25">
      <c r="B313" s="34" t="s">
        <v>106</v>
      </c>
      <c r="C313" s="34">
        <f>$P$220/12</f>
        <v>175</v>
      </c>
      <c r="D313" s="34">
        <f t="shared" ref="D313:N313" si="160">$P$220/12</f>
        <v>175</v>
      </c>
      <c r="E313" s="34">
        <f t="shared" si="160"/>
        <v>175</v>
      </c>
      <c r="F313" s="34">
        <f t="shared" si="160"/>
        <v>175</v>
      </c>
      <c r="G313" s="34">
        <f t="shared" si="160"/>
        <v>175</v>
      </c>
      <c r="H313" s="34">
        <f t="shared" si="160"/>
        <v>175</v>
      </c>
      <c r="I313" s="34">
        <f t="shared" si="160"/>
        <v>175</v>
      </c>
      <c r="J313" s="34">
        <f t="shared" si="160"/>
        <v>175</v>
      </c>
      <c r="K313" s="34">
        <f t="shared" si="160"/>
        <v>175</v>
      </c>
      <c r="L313" s="34">
        <f t="shared" si="160"/>
        <v>175</v>
      </c>
      <c r="M313" s="34">
        <f t="shared" si="160"/>
        <v>175</v>
      </c>
      <c r="N313" s="34">
        <f t="shared" si="160"/>
        <v>175</v>
      </c>
      <c r="O313" s="60" t="s">
        <v>107</v>
      </c>
      <c r="P313" s="61">
        <f>Emprunt!D104</f>
        <v>0</v>
      </c>
    </row>
    <row r="314" spans="2:24" x14ac:dyDescent="0.25">
      <c r="B314" s="34" t="s">
        <v>108</v>
      </c>
      <c r="C314" s="34">
        <f>$P$221/12</f>
        <v>2500</v>
      </c>
      <c r="D314" s="34">
        <f t="shared" ref="D314:N314" si="161">$P$221/12</f>
        <v>2500</v>
      </c>
      <c r="E314" s="34">
        <f t="shared" si="161"/>
        <v>2500</v>
      </c>
      <c r="F314" s="34">
        <f t="shared" si="161"/>
        <v>2500</v>
      </c>
      <c r="G314" s="34">
        <f t="shared" si="161"/>
        <v>2500</v>
      </c>
      <c r="H314" s="34">
        <f t="shared" si="161"/>
        <v>2500</v>
      </c>
      <c r="I314" s="34">
        <f t="shared" si="161"/>
        <v>2500</v>
      </c>
      <c r="J314" s="34">
        <f t="shared" si="161"/>
        <v>2500</v>
      </c>
      <c r="K314" s="34">
        <f t="shared" si="161"/>
        <v>2500</v>
      </c>
      <c r="L314" s="34">
        <f t="shared" si="161"/>
        <v>2500</v>
      </c>
      <c r="M314" s="34">
        <f t="shared" si="161"/>
        <v>2500</v>
      </c>
      <c r="N314" s="34">
        <f t="shared" si="161"/>
        <v>2500</v>
      </c>
      <c r="O314" s="60" t="s">
        <v>109</v>
      </c>
      <c r="P314" s="61">
        <f>Emprunt!E103</f>
        <v>0</v>
      </c>
    </row>
    <row r="315" spans="2:24" x14ac:dyDescent="0.25">
      <c r="B315" s="59" t="s">
        <v>71</v>
      </c>
      <c r="C315" s="59">
        <f>C313+C314</f>
        <v>2675</v>
      </c>
      <c r="D315" s="59">
        <f t="shared" ref="D315:N315" si="162">D313+D314</f>
        <v>2675</v>
      </c>
      <c r="E315" s="59">
        <f t="shared" si="162"/>
        <v>2675</v>
      </c>
      <c r="F315" s="59">
        <f t="shared" si="162"/>
        <v>2675</v>
      </c>
      <c r="G315" s="59">
        <f t="shared" si="162"/>
        <v>2675</v>
      </c>
      <c r="H315" s="59">
        <f t="shared" si="162"/>
        <v>2675</v>
      </c>
      <c r="I315" s="59">
        <f t="shared" si="162"/>
        <v>2675</v>
      </c>
      <c r="J315" s="59">
        <f t="shared" si="162"/>
        <v>2675</v>
      </c>
      <c r="K315" s="59">
        <f t="shared" si="162"/>
        <v>2675</v>
      </c>
      <c r="L315" s="59">
        <f t="shared" si="162"/>
        <v>2675</v>
      </c>
      <c r="M315" s="59">
        <f t="shared" si="162"/>
        <v>2675</v>
      </c>
      <c r="N315" s="59">
        <f t="shared" si="162"/>
        <v>2675</v>
      </c>
      <c r="O315" s="38"/>
      <c r="P315" s="38"/>
    </row>
    <row r="318" spans="2:24" x14ac:dyDescent="0.25">
      <c r="B318" s="177" t="s">
        <v>161</v>
      </c>
      <c r="C318" s="36"/>
      <c r="D318" s="36"/>
      <c r="E318" s="36"/>
      <c r="F318" s="36"/>
      <c r="G318" s="36"/>
      <c r="H318" s="36"/>
      <c r="I318" s="36"/>
      <c r="J318" s="36"/>
      <c r="K318" s="36"/>
      <c r="L318" s="36"/>
      <c r="M318" s="36"/>
      <c r="N318" s="36"/>
      <c r="O318" s="36"/>
      <c r="P318" s="36"/>
    </row>
    <row r="319" spans="2:24" x14ac:dyDescent="0.25">
      <c r="B319" s="213"/>
      <c r="C319" s="215" t="s">
        <v>50</v>
      </c>
      <c r="D319" s="215" t="s">
        <v>51</v>
      </c>
      <c r="E319" s="215" t="s">
        <v>52</v>
      </c>
      <c r="F319" s="215" t="s">
        <v>53</v>
      </c>
      <c r="G319" s="215" t="s">
        <v>54</v>
      </c>
      <c r="H319" s="215" t="s">
        <v>55</v>
      </c>
      <c r="I319" s="215" t="s">
        <v>56</v>
      </c>
      <c r="J319" s="215" t="s">
        <v>57</v>
      </c>
      <c r="K319" s="215" t="s">
        <v>58</v>
      </c>
      <c r="L319" s="215" t="s">
        <v>59</v>
      </c>
      <c r="M319" s="215" t="s">
        <v>60</v>
      </c>
      <c r="N319" s="215" t="s">
        <v>61</v>
      </c>
      <c r="O319" s="220" t="s">
        <v>62</v>
      </c>
      <c r="P319" s="221"/>
    </row>
    <row r="320" spans="2:24" x14ac:dyDescent="0.25">
      <c r="B320" s="214"/>
      <c r="C320" s="216"/>
      <c r="D320" s="216"/>
      <c r="E320" s="216"/>
      <c r="F320" s="216"/>
      <c r="G320" s="216"/>
      <c r="H320" s="216"/>
      <c r="I320" s="216"/>
      <c r="J320" s="216"/>
      <c r="K320" s="216"/>
      <c r="L320" s="216"/>
      <c r="M320" s="216"/>
      <c r="N320" s="216"/>
      <c r="O320" s="58" t="s">
        <v>64</v>
      </c>
      <c r="P320" s="58" t="s">
        <v>65</v>
      </c>
    </row>
    <row r="321" spans="2:16" x14ac:dyDescent="0.25">
      <c r="B321" s="35" t="s">
        <v>111</v>
      </c>
      <c r="C321" s="35">
        <f>Emprunt!J121</f>
        <v>0</v>
      </c>
      <c r="D321" s="35"/>
      <c r="E321" s="35"/>
      <c r="F321" s="35"/>
      <c r="G321" s="35"/>
      <c r="H321" s="35"/>
      <c r="I321" s="35"/>
      <c r="J321" s="35"/>
      <c r="K321" s="35"/>
      <c r="L321" s="35"/>
      <c r="M321" s="35"/>
      <c r="N321" s="35"/>
      <c r="O321" s="60" t="s">
        <v>112</v>
      </c>
      <c r="P321" s="61">
        <f>SUM(C321:N321)</f>
        <v>0</v>
      </c>
    </row>
    <row r="322" spans="2:16" x14ac:dyDescent="0.25">
      <c r="B322" s="34" t="s">
        <v>113</v>
      </c>
      <c r="C322" s="34">
        <f>C321*20%</f>
        <v>0</v>
      </c>
      <c r="D322" s="34">
        <f t="shared" ref="D322:N322" si="163">D321*20%</f>
        <v>0</v>
      </c>
      <c r="E322" s="34">
        <f t="shared" si="163"/>
        <v>0</v>
      </c>
      <c r="F322" s="34">
        <f t="shared" si="163"/>
        <v>0</v>
      </c>
      <c r="G322" s="34">
        <f t="shared" si="163"/>
        <v>0</v>
      </c>
      <c r="H322" s="34">
        <f t="shared" si="163"/>
        <v>0</v>
      </c>
      <c r="I322" s="34">
        <f t="shared" si="163"/>
        <v>0</v>
      </c>
      <c r="J322" s="34">
        <f t="shared" si="163"/>
        <v>0</v>
      </c>
      <c r="K322" s="34">
        <f t="shared" si="163"/>
        <v>0</v>
      </c>
      <c r="L322" s="34">
        <f t="shared" si="163"/>
        <v>0</v>
      </c>
      <c r="M322" s="34">
        <f t="shared" si="163"/>
        <v>0</v>
      </c>
      <c r="N322" s="34">
        <f t="shared" si="163"/>
        <v>0</v>
      </c>
      <c r="O322" s="34"/>
      <c r="P322" s="34"/>
    </row>
    <row r="323" spans="2:16" x14ac:dyDescent="0.25">
      <c r="B323" s="34" t="s">
        <v>114</v>
      </c>
      <c r="C323" s="34">
        <f>C321+C322</f>
        <v>0</v>
      </c>
      <c r="D323" s="34">
        <f t="shared" ref="D323:N323" si="164">D321+D322</f>
        <v>0</v>
      </c>
      <c r="E323" s="34">
        <f t="shared" si="164"/>
        <v>0</v>
      </c>
      <c r="F323" s="34">
        <f t="shared" si="164"/>
        <v>0</v>
      </c>
      <c r="G323" s="34">
        <f t="shared" si="164"/>
        <v>0</v>
      </c>
      <c r="H323" s="34">
        <f t="shared" si="164"/>
        <v>0</v>
      </c>
      <c r="I323" s="34">
        <f t="shared" si="164"/>
        <v>0</v>
      </c>
      <c r="J323" s="34">
        <f t="shared" si="164"/>
        <v>0</v>
      </c>
      <c r="K323" s="34">
        <f t="shared" si="164"/>
        <v>0</v>
      </c>
      <c r="L323" s="34">
        <f t="shared" si="164"/>
        <v>0</v>
      </c>
      <c r="M323" s="34">
        <f t="shared" si="164"/>
        <v>0</v>
      </c>
      <c r="N323" s="34">
        <f t="shared" si="164"/>
        <v>0</v>
      </c>
      <c r="O323" s="34"/>
      <c r="P323" s="34"/>
    </row>
    <row r="324" spans="2:16" x14ac:dyDescent="0.25">
      <c r="B324" s="59" t="s">
        <v>81</v>
      </c>
      <c r="C324" s="59">
        <f>C323</f>
        <v>0</v>
      </c>
      <c r="D324" s="59">
        <f t="shared" ref="D324:N324" si="165">D323</f>
        <v>0</v>
      </c>
      <c r="E324" s="59">
        <f t="shared" si="165"/>
        <v>0</v>
      </c>
      <c r="F324" s="59">
        <f t="shared" si="165"/>
        <v>0</v>
      </c>
      <c r="G324" s="59">
        <f t="shared" si="165"/>
        <v>0</v>
      </c>
      <c r="H324" s="59">
        <f t="shared" si="165"/>
        <v>0</v>
      </c>
      <c r="I324" s="59">
        <f t="shared" si="165"/>
        <v>0</v>
      </c>
      <c r="J324" s="59">
        <f t="shared" si="165"/>
        <v>0</v>
      </c>
      <c r="K324" s="59">
        <f t="shared" si="165"/>
        <v>0</v>
      </c>
      <c r="L324" s="59">
        <f t="shared" si="165"/>
        <v>0</v>
      </c>
      <c r="M324" s="59">
        <f t="shared" si="165"/>
        <v>0</v>
      </c>
      <c r="N324" s="59">
        <f t="shared" si="165"/>
        <v>0</v>
      </c>
      <c r="O324" s="60" t="s">
        <v>115</v>
      </c>
      <c r="P324" s="61">
        <v>0</v>
      </c>
    </row>
    <row r="327" spans="2:16" x14ac:dyDescent="0.25">
      <c r="B327" s="177" t="s">
        <v>162</v>
      </c>
      <c r="C327" s="36"/>
      <c r="D327" s="36"/>
      <c r="E327" s="36"/>
      <c r="F327" s="36"/>
      <c r="G327" s="36"/>
      <c r="H327" s="36"/>
      <c r="I327" s="36"/>
      <c r="J327" s="36"/>
      <c r="K327" s="36"/>
      <c r="L327" s="36"/>
      <c r="M327" s="36"/>
      <c r="N327" s="36"/>
      <c r="O327" s="36"/>
      <c r="P327" s="36"/>
    </row>
    <row r="328" spans="2:16" x14ac:dyDescent="0.25">
      <c r="B328" s="213"/>
      <c r="C328" s="215" t="s">
        <v>50</v>
      </c>
      <c r="D328" s="215" t="s">
        <v>51</v>
      </c>
      <c r="E328" s="215" t="s">
        <v>52</v>
      </c>
      <c r="F328" s="215" t="s">
        <v>53</v>
      </c>
      <c r="G328" s="215" t="s">
        <v>54</v>
      </c>
      <c r="H328" s="215" t="s">
        <v>55</v>
      </c>
      <c r="I328" s="215" t="s">
        <v>56</v>
      </c>
      <c r="J328" s="215" t="s">
        <v>57</v>
      </c>
      <c r="K328" s="215" t="s">
        <v>58</v>
      </c>
      <c r="L328" s="215" t="s">
        <v>59</v>
      </c>
      <c r="M328" s="215" t="s">
        <v>60</v>
      </c>
      <c r="N328" s="215" t="s">
        <v>61</v>
      </c>
      <c r="O328" s="220" t="s">
        <v>62</v>
      </c>
      <c r="P328" s="221"/>
    </row>
    <row r="329" spans="2:16" x14ac:dyDescent="0.25">
      <c r="B329" s="214"/>
      <c r="C329" s="216"/>
      <c r="D329" s="216"/>
      <c r="E329" s="216"/>
      <c r="F329" s="216"/>
      <c r="G329" s="216"/>
      <c r="H329" s="216"/>
      <c r="I329" s="216"/>
      <c r="J329" s="216"/>
      <c r="K329" s="216"/>
      <c r="L329" s="216"/>
      <c r="M329" s="216"/>
      <c r="N329" s="216"/>
      <c r="O329" s="58" t="s">
        <v>64</v>
      </c>
      <c r="P329" s="58" t="s">
        <v>65</v>
      </c>
    </row>
    <row r="330" spans="2:16" x14ac:dyDescent="0.25">
      <c r="B330" s="59" t="s">
        <v>68</v>
      </c>
      <c r="C330" s="59">
        <f>C276</f>
        <v>2475.4333333333343</v>
      </c>
      <c r="D330" s="59">
        <f t="shared" ref="D330:N330" si="166">D276</f>
        <v>2475.4333333333343</v>
      </c>
      <c r="E330" s="59">
        <f t="shared" si="166"/>
        <v>2475.4333333333343</v>
      </c>
      <c r="F330" s="59">
        <f t="shared" si="166"/>
        <v>2475.4333333333343</v>
      </c>
      <c r="G330" s="59">
        <f t="shared" si="166"/>
        <v>2475.4333333333343</v>
      </c>
      <c r="H330" s="59">
        <f t="shared" si="166"/>
        <v>2475.4333333333343</v>
      </c>
      <c r="I330" s="59">
        <f t="shared" si="166"/>
        <v>2475.4333333333343</v>
      </c>
      <c r="J330" s="59">
        <f t="shared" si="166"/>
        <v>2475.4333333333343</v>
      </c>
      <c r="K330" s="59">
        <f t="shared" si="166"/>
        <v>2475.4333333333343</v>
      </c>
      <c r="L330" s="59">
        <f t="shared" si="166"/>
        <v>2475.4333333333343</v>
      </c>
      <c r="M330" s="59">
        <f t="shared" si="166"/>
        <v>2475.4333333333343</v>
      </c>
      <c r="N330" s="59">
        <f t="shared" si="166"/>
        <v>2475.4333333333343</v>
      </c>
      <c r="O330" s="34"/>
      <c r="P330" s="34"/>
    </row>
    <row r="331" spans="2:16" x14ac:dyDescent="0.25">
      <c r="B331" s="34" t="s">
        <v>79</v>
      </c>
      <c r="C331" s="34">
        <f>C285</f>
        <v>841.64733333333356</v>
      </c>
      <c r="D331" s="34">
        <f t="shared" ref="D331:N331" si="167">D285</f>
        <v>841.64733333333356</v>
      </c>
      <c r="E331" s="34">
        <f t="shared" si="167"/>
        <v>841.64733333333356</v>
      </c>
      <c r="F331" s="34">
        <f t="shared" si="167"/>
        <v>841.64733333333356</v>
      </c>
      <c r="G331" s="34">
        <f t="shared" si="167"/>
        <v>841.64733333333356</v>
      </c>
      <c r="H331" s="34">
        <f t="shared" si="167"/>
        <v>841.64733333333356</v>
      </c>
      <c r="I331" s="34">
        <f t="shared" si="167"/>
        <v>841.64733333333356</v>
      </c>
      <c r="J331" s="34">
        <f t="shared" si="167"/>
        <v>841.64733333333356</v>
      </c>
      <c r="K331" s="34">
        <f t="shared" si="167"/>
        <v>841.64733333333356</v>
      </c>
      <c r="L331" s="34">
        <f t="shared" si="167"/>
        <v>841.64733333333356</v>
      </c>
      <c r="M331" s="34">
        <f t="shared" si="167"/>
        <v>841.64733333333356</v>
      </c>
      <c r="N331" s="34">
        <f t="shared" si="167"/>
        <v>841.64733333333356</v>
      </c>
      <c r="O331" s="34"/>
      <c r="P331" s="34"/>
    </row>
    <row r="332" spans="2:16" x14ac:dyDescent="0.25">
      <c r="B332" s="34" t="s">
        <v>86</v>
      </c>
      <c r="C332" s="34">
        <f>C294</f>
        <v>1420</v>
      </c>
      <c r="D332" s="34">
        <f t="shared" ref="D332:N332" si="168">D294</f>
        <v>1420</v>
      </c>
      <c r="E332" s="34">
        <f t="shared" si="168"/>
        <v>1420</v>
      </c>
      <c r="F332" s="34">
        <f t="shared" si="168"/>
        <v>1420</v>
      </c>
      <c r="G332" s="34">
        <f t="shared" si="168"/>
        <v>1420</v>
      </c>
      <c r="H332" s="34">
        <f t="shared" si="168"/>
        <v>1420</v>
      </c>
      <c r="I332" s="34">
        <f t="shared" si="168"/>
        <v>1420</v>
      </c>
      <c r="J332" s="34">
        <f t="shared" si="168"/>
        <v>1420</v>
      </c>
      <c r="K332" s="34">
        <f t="shared" si="168"/>
        <v>1420</v>
      </c>
      <c r="L332" s="34">
        <f t="shared" si="168"/>
        <v>1420</v>
      </c>
      <c r="M332" s="34">
        <f t="shared" si="168"/>
        <v>1420</v>
      </c>
      <c r="N332" s="34">
        <f t="shared" si="168"/>
        <v>1420</v>
      </c>
      <c r="O332" s="34"/>
      <c r="P332" s="34"/>
    </row>
    <row r="333" spans="2:16" x14ac:dyDescent="0.25">
      <c r="B333" s="59" t="s">
        <v>113</v>
      </c>
      <c r="C333" s="59">
        <f>C322</f>
        <v>0</v>
      </c>
      <c r="D333" s="59">
        <f t="shared" ref="D333:G333" si="169">D322</f>
        <v>0</v>
      </c>
      <c r="E333" s="59">
        <f t="shared" si="169"/>
        <v>0</v>
      </c>
      <c r="F333" s="59">
        <f t="shared" si="169"/>
        <v>0</v>
      </c>
      <c r="G333" s="59">
        <f t="shared" si="169"/>
        <v>0</v>
      </c>
      <c r="H333" s="59">
        <f>H322</f>
        <v>0</v>
      </c>
      <c r="I333" s="59">
        <f t="shared" ref="I333:N333" si="170">I322</f>
        <v>0</v>
      </c>
      <c r="J333" s="59">
        <f t="shared" si="170"/>
        <v>0</v>
      </c>
      <c r="K333" s="59">
        <f t="shared" si="170"/>
        <v>0</v>
      </c>
      <c r="L333" s="59">
        <f t="shared" si="170"/>
        <v>0</v>
      </c>
      <c r="M333" s="59">
        <f t="shared" si="170"/>
        <v>0</v>
      </c>
      <c r="N333" s="59">
        <f t="shared" si="170"/>
        <v>0</v>
      </c>
      <c r="O333" s="34"/>
      <c r="P333" s="34"/>
    </row>
    <row r="334" spans="2:16" x14ac:dyDescent="0.25">
      <c r="B334" s="44" t="s">
        <v>117</v>
      </c>
      <c r="C334" s="42">
        <f>C331+C332+C333</f>
        <v>2261.6473333333333</v>
      </c>
      <c r="D334" s="42">
        <f t="shared" ref="D334:N334" si="171">D331+D332+D333</f>
        <v>2261.6473333333333</v>
      </c>
      <c r="E334" s="42">
        <f t="shared" si="171"/>
        <v>2261.6473333333333</v>
      </c>
      <c r="F334" s="42">
        <f t="shared" si="171"/>
        <v>2261.6473333333333</v>
      </c>
      <c r="G334" s="42">
        <f t="shared" si="171"/>
        <v>2261.6473333333333</v>
      </c>
      <c r="H334" s="42">
        <f t="shared" si="171"/>
        <v>2261.6473333333333</v>
      </c>
      <c r="I334" s="42">
        <f t="shared" si="171"/>
        <v>2261.6473333333333</v>
      </c>
      <c r="J334" s="42">
        <f t="shared" si="171"/>
        <v>2261.6473333333333</v>
      </c>
      <c r="K334" s="42">
        <f t="shared" si="171"/>
        <v>2261.6473333333333</v>
      </c>
      <c r="L334" s="42">
        <f t="shared" si="171"/>
        <v>2261.6473333333333</v>
      </c>
      <c r="M334" s="42">
        <f t="shared" si="171"/>
        <v>2261.6473333333333</v>
      </c>
      <c r="N334" s="42">
        <f t="shared" si="171"/>
        <v>2261.6473333333333</v>
      </c>
      <c r="O334" s="34"/>
      <c r="P334" s="34"/>
    </row>
    <row r="335" spans="2:16" x14ac:dyDescent="0.25">
      <c r="B335" s="45" t="s">
        <v>118</v>
      </c>
      <c r="C335" s="43">
        <f>C330-C334</f>
        <v>213.78600000000097</v>
      </c>
      <c r="D335" s="43">
        <f t="shared" ref="D335:N335" si="172">D330-D334</f>
        <v>213.78600000000097</v>
      </c>
      <c r="E335" s="43">
        <f t="shared" si="172"/>
        <v>213.78600000000097</v>
      </c>
      <c r="F335" s="43">
        <f t="shared" si="172"/>
        <v>213.78600000000097</v>
      </c>
      <c r="G335" s="43">
        <f t="shared" si="172"/>
        <v>213.78600000000097</v>
      </c>
      <c r="H335" s="43">
        <f t="shared" si="172"/>
        <v>213.78600000000097</v>
      </c>
      <c r="I335" s="43">
        <f t="shared" si="172"/>
        <v>213.78600000000097</v>
      </c>
      <c r="J335" s="43">
        <f t="shared" si="172"/>
        <v>213.78600000000097</v>
      </c>
      <c r="K335" s="43">
        <f t="shared" si="172"/>
        <v>213.78600000000097</v>
      </c>
      <c r="L335" s="43">
        <f t="shared" si="172"/>
        <v>213.78600000000097</v>
      </c>
      <c r="M335" s="43">
        <f t="shared" si="172"/>
        <v>213.78600000000097</v>
      </c>
      <c r="N335" s="43">
        <f t="shared" si="172"/>
        <v>213.78600000000097</v>
      </c>
      <c r="O335" s="34"/>
      <c r="P335" s="34"/>
    </row>
    <row r="336" spans="2:16" x14ac:dyDescent="0.25">
      <c r="B336" s="59" t="s">
        <v>81</v>
      </c>
      <c r="C336" s="59">
        <f>P247</f>
        <v>0</v>
      </c>
      <c r="D336" s="59">
        <f>C335</f>
        <v>213.78600000000097</v>
      </c>
      <c r="E336" s="59">
        <f t="shared" ref="E336" si="173">D335</f>
        <v>213.78600000000097</v>
      </c>
      <c r="F336" s="59">
        <f t="shared" ref="F336" si="174">E335</f>
        <v>213.78600000000097</v>
      </c>
      <c r="G336" s="59">
        <f t="shared" ref="G336" si="175">F335</f>
        <v>213.78600000000097</v>
      </c>
      <c r="H336" s="59">
        <f t="shared" ref="H336" si="176">G335</f>
        <v>213.78600000000097</v>
      </c>
      <c r="I336" s="59">
        <f t="shared" ref="I336" si="177">H335</f>
        <v>213.78600000000097</v>
      </c>
      <c r="J336" s="59">
        <f t="shared" ref="J336" si="178">I335</f>
        <v>213.78600000000097</v>
      </c>
      <c r="K336" s="59">
        <f t="shared" ref="K336" si="179">J335</f>
        <v>213.78600000000097</v>
      </c>
      <c r="L336" s="59">
        <f t="shared" ref="L336" si="180">K335</f>
        <v>213.78600000000097</v>
      </c>
      <c r="M336" s="59">
        <f t="shared" ref="M336" si="181">L335</f>
        <v>213.78600000000097</v>
      </c>
      <c r="N336" s="59">
        <f t="shared" ref="N336" si="182">M335</f>
        <v>213.78600000000097</v>
      </c>
      <c r="O336" s="60" t="s">
        <v>119</v>
      </c>
      <c r="P336" s="61">
        <f>N335</f>
        <v>213.78600000000097</v>
      </c>
    </row>
    <row r="339" spans="2:16" x14ac:dyDescent="0.25">
      <c r="B339" s="177" t="s">
        <v>163</v>
      </c>
      <c r="C339" s="36"/>
      <c r="D339" s="36"/>
      <c r="E339" s="36"/>
      <c r="F339" s="36"/>
      <c r="G339" s="36"/>
      <c r="H339" s="36"/>
      <c r="I339" s="36"/>
      <c r="J339" s="36"/>
      <c r="K339" s="36"/>
      <c r="L339" s="36"/>
      <c r="M339" s="36"/>
      <c r="N339" s="36"/>
      <c r="O339" s="36"/>
      <c r="P339" s="36"/>
    </row>
    <row r="340" spans="2:16" x14ac:dyDescent="0.25">
      <c r="B340" s="213"/>
      <c r="C340" s="215" t="s">
        <v>50</v>
      </c>
      <c r="D340" s="215" t="s">
        <v>51</v>
      </c>
      <c r="E340" s="215" t="s">
        <v>52</v>
      </c>
      <c r="F340" s="215" t="s">
        <v>53</v>
      </c>
      <c r="G340" s="215" t="s">
        <v>54</v>
      </c>
      <c r="H340" s="215" t="s">
        <v>55</v>
      </c>
      <c r="I340" s="215" t="s">
        <v>56</v>
      </c>
      <c r="J340" s="215" t="s">
        <v>57</v>
      </c>
      <c r="K340" s="215" t="s">
        <v>58</v>
      </c>
      <c r="L340" s="215" t="s">
        <v>59</v>
      </c>
      <c r="M340" s="215" t="s">
        <v>60</v>
      </c>
      <c r="N340" s="215" t="s">
        <v>61</v>
      </c>
      <c r="O340" s="220" t="s">
        <v>62</v>
      </c>
      <c r="P340" s="221"/>
    </row>
    <row r="341" spans="2:16" x14ac:dyDescent="0.25">
      <c r="B341" s="214"/>
      <c r="C341" s="216"/>
      <c r="D341" s="216"/>
      <c r="E341" s="216"/>
      <c r="F341" s="216"/>
      <c r="G341" s="216"/>
      <c r="H341" s="216"/>
      <c r="I341" s="216"/>
      <c r="J341" s="216"/>
      <c r="K341" s="216"/>
      <c r="L341" s="216"/>
      <c r="M341" s="216"/>
      <c r="N341" s="216"/>
      <c r="O341" s="58" t="s">
        <v>64</v>
      </c>
      <c r="P341" s="58" t="s">
        <v>65</v>
      </c>
    </row>
    <row r="342" spans="2:16" x14ac:dyDescent="0.25">
      <c r="B342" s="35" t="s">
        <v>121</v>
      </c>
      <c r="C342" s="35">
        <f>C278</f>
        <v>0</v>
      </c>
      <c r="D342" s="35">
        <f t="shared" ref="D342:N342" si="183">D278</f>
        <v>14852.600000000004</v>
      </c>
      <c r="E342" s="35">
        <f t="shared" si="183"/>
        <v>14852.600000000004</v>
      </c>
      <c r="F342" s="35">
        <f t="shared" si="183"/>
        <v>14852.600000000004</v>
      </c>
      <c r="G342" s="35">
        <f t="shared" si="183"/>
        <v>14852.600000000004</v>
      </c>
      <c r="H342" s="35">
        <f t="shared" si="183"/>
        <v>14852.600000000004</v>
      </c>
      <c r="I342" s="35">
        <f t="shared" si="183"/>
        <v>14852.600000000004</v>
      </c>
      <c r="J342" s="43">
        <f t="shared" si="183"/>
        <v>14852.600000000004</v>
      </c>
      <c r="K342" s="35">
        <f t="shared" si="183"/>
        <v>14852.600000000004</v>
      </c>
      <c r="L342" s="35">
        <f t="shared" si="183"/>
        <v>14852.600000000004</v>
      </c>
      <c r="M342" s="35">
        <f t="shared" si="183"/>
        <v>14852.600000000004</v>
      </c>
      <c r="N342" s="35">
        <f t="shared" si="183"/>
        <v>14852.600000000004</v>
      </c>
      <c r="O342" s="34"/>
      <c r="P342" s="34"/>
    </row>
    <row r="343" spans="2:16" x14ac:dyDescent="0.25">
      <c r="B343" s="34" t="s">
        <v>122</v>
      </c>
      <c r="C343" s="34"/>
      <c r="D343" s="34"/>
      <c r="E343" s="34"/>
      <c r="F343" s="34"/>
      <c r="G343" s="34"/>
      <c r="H343" s="34"/>
      <c r="I343" s="34"/>
      <c r="J343" s="34"/>
      <c r="K343" s="34"/>
      <c r="L343" s="34"/>
      <c r="M343" s="34"/>
      <c r="N343" s="34"/>
      <c r="O343" s="34"/>
      <c r="P343" s="34"/>
    </row>
    <row r="344" spans="2:16" x14ac:dyDescent="0.25">
      <c r="B344" s="59" t="s">
        <v>123</v>
      </c>
      <c r="C344" s="59">
        <f>C343+C342</f>
        <v>0</v>
      </c>
      <c r="D344" s="59">
        <f t="shared" ref="D344:N344" si="184">D343+D342</f>
        <v>14852.600000000004</v>
      </c>
      <c r="E344" s="59">
        <f t="shared" si="184"/>
        <v>14852.600000000004</v>
      </c>
      <c r="F344" s="59">
        <f t="shared" si="184"/>
        <v>14852.600000000004</v>
      </c>
      <c r="G344" s="59">
        <f t="shared" si="184"/>
        <v>14852.600000000004</v>
      </c>
      <c r="H344" s="59">
        <f t="shared" si="184"/>
        <v>14852.600000000004</v>
      </c>
      <c r="I344" s="59">
        <f t="shared" si="184"/>
        <v>14852.600000000004</v>
      </c>
      <c r="J344" s="59">
        <f t="shared" si="184"/>
        <v>14852.600000000004</v>
      </c>
      <c r="K344" s="59">
        <f t="shared" si="184"/>
        <v>14852.600000000004</v>
      </c>
      <c r="L344" s="59">
        <f t="shared" si="184"/>
        <v>14852.600000000004</v>
      </c>
      <c r="M344" s="59">
        <f t="shared" si="184"/>
        <v>14852.600000000004</v>
      </c>
      <c r="N344" s="59">
        <f t="shared" si="184"/>
        <v>14852.600000000004</v>
      </c>
      <c r="O344" s="34"/>
      <c r="P344" s="34"/>
    </row>
    <row r="345" spans="2:16" x14ac:dyDescent="0.25">
      <c r="B345" s="39" t="s">
        <v>124</v>
      </c>
      <c r="C345" s="41">
        <f>C287</f>
        <v>5049.8840000000009</v>
      </c>
      <c r="D345" s="41">
        <f t="shared" ref="D345:N345" si="185">D287</f>
        <v>5049.8840000000009</v>
      </c>
      <c r="E345" s="41">
        <f t="shared" si="185"/>
        <v>5049.8840000000009</v>
      </c>
      <c r="F345" s="41">
        <f t="shared" si="185"/>
        <v>5049.8840000000009</v>
      </c>
      <c r="G345" s="41">
        <f t="shared" si="185"/>
        <v>5049.8840000000009</v>
      </c>
      <c r="H345" s="41">
        <f t="shared" si="185"/>
        <v>5049.8840000000009</v>
      </c>
      <c r="I345" s="41">
        <f t="shared" si="185"/>
        <v>5049.8840000000009</v>
      </c>
      <c r="J345" s="41">
        <f t="shared" si="185"/>
        <v>5049.8840000000009</v>
      </c>
      <c r="K345" s="41">
        <f t="shared" si="185"/>
        <v>5049.8840000000009</v>
      </c>
      <c r="L345" s="41">
        <f t="shared" si="185"/>
        <v>5049.8840000000009</v>
      </c>
      <c r="M345" s="41">
        <f t="shared" si="185"/>
        <v>5049.8840000000009</v>
      </c>
      <c r="N345" s="41">
        <f t="shared" si="185"/>
        <v>5049.8840000000009</v>
      </c>
      <c r="O345" s="34"/>
      <c r="P345" s="34"/>
    </row>
    <row r="346" spans="2:16" x14ac:dyDescent="0.25">
      <c r="B346" s="39" t="s">
        <v>125</v>
      </c>
      <c r="C346" s="41"/>
      <c r="D346" s="41"/>
      <c r="E346" s="41"/>
      <c r="F346" s="41"/>
      <c r="G346" s="41"/>
      <c r="H346" s="41"/>
      <c r="I346" s="41"/>
      <c r="J346" s="41"/>
      <c r="K346" s="41"/>
      <c r="L346" s="41"/>
      <c r="M346" s="41"/>
      <c r="N346" s="41"/>
      <c r="O346" s="34"/>
      <c r="P346" s="34"/>
    </row>
    <row r="347" spans="2:16" x14ac:dyDescent="0.25">
      <c r="B347" s="39" t="s">
        <v>126</v>
      </c>
      <c r="C347" s="41">
        <f>C303</f>
        <v>25625</v>
      </c>
      <c r="D347" s="41">
        <f t="shared" ref="D347:N347" si="186">D303</f>
        <v>25625</v>
      </c>
      <c r="E347" s="41">
        <f t="shared" si="186"/>
        <v>25625</v>
      </c>
      <c r="F347" s="41">
        <f t="shared" si="186"/>
        <v>25625</v>
      </c>
      <c r="G347" s="41">
        <f t="shared" si="186"/>
        <v>25625</v>
      </c>
      <c r="H347" s="41">
        <f t="shared" si="186"/>
        <v>25625</v>
      </c>
      <c r="I347" s="41">
        <f t="shared" si="186"/>
        <v>25625</v>
      </c>
      <c r="J347" s="41">
        <f t="shared" si="186"/>
        <v>25625</v>
      </c>
      <c r="K347" s="41">
        <f t="shared" si="186"/>
        <v>25625</v>
      </c>
      <c r="L347" s="41">
        <f t="shared" si="186"/>
        <v>25625</v>
      </c>
      <c r="M347" s="41">
        <f t="shared" si="186"/>
        <v>25625</v>
      </c>
      <c r="N347" s="41">
        <f t="shared" si="186"/>
        <v>25625</v>
      </c>
      <c r="O347" s="34"/>
      <c r="P347" s="34"/>
    </row>
    <row r="348" spans="2:16" x14ac:dyDescent="0.25">
      <c r="B348" s="39" t="s">
        <v>21</v>
      </c>
      <c r="C348" s="41">
        <f>C305</f>
        <v>0</v>
      </c>
      <c r="D348" s="41">
        <f t="shared" ref="D348:N348" si="187">D305</f>
        <v>10250</v>
      </c>
      <c r="E348" s="41">
        <f t="shared" si="187"/>
        <v>10250</v>
      </c>
      <c r="F348" s="41">
        <f t="shared" si="187"/>
        <v>10250</v>
      </c>
      <c r="G348" s="41">
        <f t="shared" si="187"/>
        <v>10250</v>
      </c>
      <c r="H348" s="41">
        <f t="shared" si="187"/>
        <v>10250</v>
      </c>
      <c r="I348" s="41">
        <f t="shared" si="187"/>
        <v>10250</v>
      </c>
      <c r="J348" s="41">
        <f t="shared" si="187"/>
        <v>10250</v>
      </c>
      <c r="K348" s="41">
        <f t="shared" si="187"/>
        <v>10250</v>
      </c>
      <c r="L348" s="41">
        <f t="shared" si="187"/>
        <v>10250</v>
      </c>
      <c r="M348" s="41">
        <f t="shared" si="187"/>
        <v>10250</v>
      </c>
      <c r="N348" s="41">
        <f t="shared" si="187"/>
        <v>10250</v>
      </c>
      <c r="O348" s="34"/>
      <c r="P348" s="34"/>
    </row>
    <row r="349" spans="2:16" x14ac:dyDescent="0.25">
      <c r="B349" s="39" t="s">
        <v>102</v>
      </c>
      <c r="C349" s="41">
        <f t="shared" ref="C349:N349" si="188">C312</f>
        <v>0</v>
      </c>
      <c r="D349" s="41">
        <f t="shared" si="188"/>
        <v>0</v>
      </c>
      <c r="E349" s="41">
        <f t="shared" si="188"/>
        <v>0</v>
      </c>
      <c r="F349" s="41">
        <f t="shared" si="188"/>
        <v>0</v>
      </c>
      <c r="G349" s="41">
        <f t="shared" si="188"/>
        <v>0</v>
      </c>
      <c r="H349" s="41">
        <f t="shared" si="188"/>
        <v>0</v>
      </c>
      <c r="I349" s="41">
        <f t="shared" si="188"/>
        <v>0</v>
      </c>
      <c r="J349" s="41">
        <f t="shared" si="188"/>
        <v>0</v>
      </c>
      <c r="K349" s="41">
        <f t="shared" si="188"/>
        <v>0</v>
      </c>
      <c r="L349" s="41">
        <f t="shared" si="188"/>
        <v>8200</v>
      </c>
      <c r="M349" s="41">
        <f t="shared" si="188"/>
        <v>0</v>
      </c>
      <c r="N349" s="41">
        <f t="shared" si="188"/>
        <v>0</v>
      </c>
      <c r="O349" s="34"/>
      <c r="P349" s="34"/>
    </row>
    <row r="350" spans="2:16" x14ac:dyDescent="0.25">
      <c r="B350" s="39" t="s">
        <v>127</v>
      </c>
      <c r="C350" s="41">
        <f>C296</f>
        <v>8520</v>
      </c>
      <c r="D350" s="41">
        <f t="shared" ref="D350:N350" si="189">D296</f>
        <v>8520</v>
      </c>
      <c r="E350" s="41">
        <f t="shared" si="189"/>
        <v>8520</v>
      </c>
      <c r="F350" s="41">
        <f t="shared" si="189"/>
        <v>8520</v>
      </c>
      <c r="G350" s="41">
        <f t="shared" si="189"/>
        <v>8520</v>
      </c>
      <c r="H350" s="41">
        <f t="shared" si="189"/>
        <v>8520</v>
      </c>
      <c r="I350" s="41">
        <f t="shared" si="189"/>
        <v>8520</v>
      </c>
      <c r="J350" s="41">
        <f t="shared" si="189"/>
        <v>8520</v>
      </c>
      <c r="K350" s="41">
        <f t="shared" si="189"/>
        <v>8520</v>
      </c>
      <c r="L350" s="41">
        <f t="shared" si="189"/>
        <v>8520</v>
      </c>
      <c r="M350" s="41">
        <f t="shared" si="189"/>
        <v>8520</v>
      </c>
      <c r="N350" s="41">
        <f t="shared" si="189"/>
        <v>8520</v>
      </c>
      <c r="O350" s="34"/>
      <c r="P350" s="34"/>
    </row>
    <row r="351" spans="2:16" x14ac:dyDescent="0.25">
      <c r="B351" s="39" t="s">
        <v>128</v>
      </c>
      <c r="C351" s="41">
        <f t="shared" ref="C351:N351" si="190">C315</f>
        <v>2675</v>
      </c>
      <c r="D351" s="41">
        <f t="shared" si="190"/>
        <v>2675</v>
      </c>
      <c r="E351" s="41">
        <f t="shared" si="190"/>
        <v>2675</v>
      </c>
      <c r="F351" s="41">
        <f t="shared" si="190"/>
        <v>2675</v>
      </c>
      <c r="G351" s="41">
        <f t="shared" si="190"/>
        <v>2675</v>
      </c>
      <c r="H351" s="41">
        <f t="shared" si="190"/>
        <v>2675</v>
      </c>
      <c r="I351" s="41">
        <f t="shared" si="190"/>
        <v>2675</v>
      </c>
      <c r="J351" s="41">
        <f t="shared" si="190"/>
        <v>2675</v>
      </c>
      <c r="K351" s="41">
        <f t="shared" si="190"/>
        <v>2675</v>
      </c>
      <c r="L351" s="41">
        <f t="shared" si="190"/>
        <v>2675</v>
      </c>
      <c r="M351" s="41">
        <f t="shared" si="190"/>
        <v>2675</v>
      </c>
      <c r="N351" s="41">
        <f t="shared" si="190"/>
        <v>2675</v>
      </c>
      <c r="O351" s="34"/>
      <c r="P351" s="34"/>
    </row>
    <row r="352" spans="2:16" x14ac:dyDescent="0.25">
      <c r="B352" s="39" t="s">
        <v>129</v>
      </c>
      <c r="C352" s="41">
        <f>C323</f>
        <v>0</v>
      </c>
      <c r="D352" s="41">
        <f t="shared" ref="D352:G352" si="191">D323</f>
        <v>0</v>
      </c>
      <c r="E352" s="41">
        <f t="shared" si="191"/>
        <v>0</v>
      </c>
      <c r="F352" s="41">
        <f t="shared" si="191"/>
        <v>0</v>
      </c>
      <c r="G352" s="41">
        <f t="shared" si="191"/>
        <v>0</v>
      </c>
      <c r="H352" s="41">
        <f>H323</f>
        <v>0</v>
      </c>
      <c r="I352" s="41">
        <f t="shared" ref="I352:N352" si="192">I323</f>
        <v>0</v>
      </c>
      <c r="J352" s="41">
        <f t="shared" si="192"/>
        <v>0</v>
      </c>
      <c r="K352" s="41">
        <f t="shared" si="192"/>
        <v>0</v>
      </c>
      <c r="L352" s="41">
        <f t="shared" si="192"/>
        <v>0</v>
      </c>
      <c r="M352" s="41">
        <f t="shared" si="192"/>
        <v>0</v>
      </c>
      <c r="N352" s="41">
        <f t="shared" si="192"/>
        <v>0</v>
      </c>
      <c r="O352" s="34"/>
      <c r="P352" s="34"/>
    </row>
    <row r="353" spans="2:20" x14ac:dyDescent="0.25">
      <c r="B353" s="39" t="s">
        <v>130</v>
      </c>
      <c r="C353" s="41">
        <f t="shared" ref="C353:N353" si="193">C336</f>
        <v>0</v>
      </c>
      <c r="D353" s="41">
        <f t="shared" si="193"/>
        <v>213.78600000000097</v>
      </c>
      <c r="E353" s="41">
        <f t="shared" si="193"/>
        <v>213.78600000000097</v>
      </c>
      <c r="F353" s="41">
        <f t="shared" si="193"/>
        <v>213.78600000000097</v>
      </c>
      <c r="G353" s="41">
        <f t="shared" si="193"/>
        <v>213.78600000000097</v>
      </c>
      <c r="H353" s="41">
        <f t="shared" si="193"/>
        <v>213.78600000000097</v>
      </c>
      <c r="I353" s="41">
        <f t="shared" si="193"/>
        <v>213.78600000000097</v>
      </c>
      <c r="J353" s="41">
        <f t="shared" si="193"/>
        <v>213.78600000000097</v>
      </c>
      <c r="K353" s="41">
        <f t="shared" si="193"/>
        <v>213.78600000000097</v>
      </c>
      <c r="L353" s="41">
        <f t="shared" si="193"/>
        <v>213.78600000000097</v>
      </c>
      <c r="M353" s="41">
        <f t="shared" si="193"/>
        <v>213.78600000000097</v>
      </c>
      <c r="N353" s="41">
        <f t="shared" si="193"/>
        <v>213.78600000000097</v>
      </c>
      <c r="O353" s="34"/>
      <c r="P353" s="34"/>
    </row>
    <row r="354" spans="2:20" x14ac:dyDescent="0.25">
      <c r="B354" s="59" t="s">
        <v>131</v>
      </c>
      <c r="C354" s="59">
        <f>SUM(C345:C353)</f>
        <v>41869.884000000005</v>
      </c>
      <c r="D354" s="59">
        <f t="shared" ref="D354:N354" si="194">SUM(D345:D353)</f>
        <v>52333.670000000006</v>
      </c>
      <c r="E354" s="59">
        <f t="shared" si="194"/>
        <v>52333.670000000006</v>
      </c>
      <c r="F354" s="59">
        <f t="shared" si="194"/>
        <v>52333.670000000006</v>
      </c>
      <c r="G354" s="59">
        <f t="shared" si="194"/>
        <v>52333.670000000006</v>
      </c>
      <c r="H354" s="59">
        <f t="shared" si="194"/>
        <v>52333.670000000006</v>
      </c>
      <c r="I354" s="59">
        <f t="shared" si="194"/>
        <v>52333.670000000006</v>
      </c>
      <c r="J354" s="59">
        <f t="shared" si="194"/>
        <v>52333.670000000006</v>
      </c>
      <c r="K354" s="59">
        <f t="shared" si="194"/>
        <v>52333.670000000006</v>
      </c>
      <c r="L354" s="59">
        <f t="shared" si="194"/>
        <v>60533.670000000006</v>
      </c>
      <c r="M354" s="59">
        <f t="shared" si="194"/>
        <v>52333.670000000006</v>
      </c>
      <c r="N354" s="59">
        <f t="shared" si="194"/>
        <v>52333.670000000006</v>
      </c>
      <c r="O354" s="34"/>
      <c r="P354" s="34"/>
    </row>
    <row r="355" spans="2:20" x14ac:dyDescent="0.25">
      <c r="B355" s="59" t="s">
        <v>132</v>
      </c>
      <c r="C355" s="59">
        <f>V218</f>
        <v>0</v>
      </c>
      <c r="D355" s="59">
        <f>C357</f>
        <v>-41869.884000000005</v>
      </c>
      <c r="E355" s="59">
        <f t="shared" ref="E355" si="195">D357</f>
        <v>-79350.953999999998</v>
      </c>
      <c r="F355" s="59">
        <f t="shared" ref="F355" si="196">E357</f>
        <v>-116832.024</v>
      </c>
      <c r="G355" s="59">
        <f t="shared" ref="G355" si="197">F357</f>
        <v>-154313.09400000001</v>
      </c>
      <c r="H355" s="59">
        <f t="shared" ref="H355" si="198">G357</f>
        <v>-191794.16400000002</v>
      </c>
      <c r="I355" s="59">
        <f t="shared" ref="I355" si="199">H357</f>
        <v>-229275.23400000003</v>
      </c>
      <c r="J355" s="59">
        <f t="shared" ref="J355" si="200">I357</f>
        <v>-266756.304</v>
      </c>
      <c r="K355" s="59">
        <f t="shared" ref="K355" si="201">J357</f>
        <v>-304237.37400000001</v>
      </c>
      <c r="L355" s="59">
        <f t="shared" ref="L355" si="202">K357</f>
        <v>-341718.44400000002</v>
      </c>
      <c r="M355" s="59">
        <f t="shared" ref="M355" si="203">L357</f>
        <v>-387399.51400000002</v>
      </c>
      <c r="N355" s="59">
        <f t="shared" ref="N355" si="204">M357</f>
        <v>-424880.58400000003</v>
      </c>
      <c r="O355" s="34"/>
      <c r="P355" s="34"/>
    </row>
    <row r="356" spans="2:20" x14ac:dyDescent="0.25">
      <c r="B356" s="34" t="s">
        <v>133</v>
      </c>
      <c r="C356" s="34">
        <f t="shared" ref="C356:N356" si="205">C344-C354</f>
        <v>-41869.884000000005</v>
      </c>
      <c r="D356" s="34">
        <f t="shared" si="205"/>
        <v>-37481.07</v>
      </c>
      <c r="E356" s="34">
        <f t="shared" si="205"/>
        <v>-37481.07</v>
      </c>
      <c r="F356" s="34">
        <f t="shared" si="205"/>
        <v>-37481.07</v>
      </c>
      <c r="G356" s="34">
        <f t="shared" si="205"/>
        <v>-37481.07</v>
      </c>
      <c r="H356" s="34">
        <f t="shared" si="205"/>
        <v>-37481.07</v>
      </c>
      <c r="I356" s="34">
        <f t="shared" si="205"/>
        <v>-37481.07</v>
      </c>
      <c r="J356" s="34">
        <f t="shared" si="205"/>
        <v>-37481.07</v>
      </c>
      <c r="K356" s="34">
        <f t="shared" si="205"/>
        <v>-37481.07</v>
      </c>
      <c r="L356" s="34">
        <f t="shared" si="205"/>
        <v>-45681.07</v>
      </c>
      <c r="M356" s="34">
        <f t="shared" si="205"/>
        <v>-37481.07</v>
      </c>
      <c r="N356" s="34">
        <f t="shared" si="205"/>
        <v>-37481.07</v>
      </c>
      <c r="O356" s="34"/>
      <c r="P356" s="34"/>
    </row>
    <row r="357" spans="2:20" x14ac:dyDescent="0.25">
      <c r="B357" s="59" t="s">
        <v>134</v>
      </c>
      <c r="C357" s="59">
        <f>C355+C356</f>
        <v>-41869.884000000005</v>
      </c>
      <c r="D357" s="59">
        <f t="shared" ref="D357:N357" si="206">D355+D356</f>
        <v>-79350.953999999998</v>
      </c>
      <c r="E357" s="59">
        <f t="shared" si="206"/>
        <v>-116832.024</v>
      </c>
      <c r="F357" s="59">
        <f t="shared" si="206"/>
        <v>-154313.09400000001</v>
      </c>
      <c r="G357" s="59">
        <f t="shared" si="206"/>
        <v>-191794.16400000002</v>
      </c>
      <c r="H357" s="59">
        <f t="shared" si="206"/>
        <v>-229275.23400000003</v>
      </c>
      <c r="I357" s="59">
        <f t="shared" si="206"/>
        <v>-266756.304</v>
      </c>
      <c r="J357" s="59">
        <f t="shared" si="206"/>
        <v>-304237.37400000001</v>
      </c>
      <c r="K357" s="59">
        <f t="shared" si="206"/>
        <v>-341718.44400000002</v>
      </c>
      <c r="L357" s="59">
        <f t="shared" si="206"/>
        <v>-387399.51400000002</v>
      </c>
      <c r="M357" s="59">
        <f t="shared" si="206"/>
        <v>-424880.58400000003</v>
      </c>
      <c r="N357" s="59">
        <f t="shared" si="206"/>
        <v>-462361.65400000004</v>
      </c>
      <c r="O357" s="60" t="s">
        <v>164</v>
      </c>
      <c r="P357" s="61">
        <f>N357</f>
        <v>-462361.65400000004</v>
      </c>
    </row>
    <row r="364" spans="2:20" ht="28.5" x14ac:dyDescent="0.45">
      <c r="B364" s="212" t="s">
        <v>201</v>
      </c>
      <c r="C364" s="212"/>
      <c r="D364" s="212"/>
      <c r="E364" s="212"/>
      <c r="F364" s="212"/>
      <c r="G364" s="212"/>
      <c r="H364" s="212"/>
      <c r="I364" s="212"/>
      <c r="J364" s="212"/>
      <c r="K364" s="212"/>
      <c r="L364" s="212"/>
      <c r="M364" s="212"/>
      <c r="N364" s="212"/>
      <c r="O364" s="212"/>
      <c r="P364" s="212"/>
    </row>
    <row r="366" spans="2:20" x14ac:dyDescent="0.25">
      <c r="B366" s="218" t="s">
        <v>153</v>
      </c>
      <c r="C366" s="218"/>
      <c r="D366" s="218"/>
      <c r="E366" s="218"/>
      <c r="F366" s="218"/>
      <c r="G366" s="218"/>
      <c r="H366" s="218"/>
      <c r="I366" s="218"/>
      <c r="J366" s="218"/>
      <c r="K366" s="218"/>
      <c r="L366" s="218"/>
      <c r="M366" s="218"/>
      <c r="N366" s="218"/>
      <c r="O366" s="218"/>
      <c r="P366" s="218"/>
    </row>
    <row r="367" spans="2:20" x14ac:dyDescent="0.25">
      <c r="B367" s="213"/>
      <c r="C367" s="215" t="s">
        <v>50</v>
      </c>
      <c r="D367" s="215" t="s">
        <v>51</v>
      </c>
      <c r="E367" s="215" t="s">
        <v>52</v>
      </c>
      <c r="F367" s="215" t="s">
        <v>53</v>
      </c>
      <c r="G367" s="215" t="s">
        <v>54</v>
      </c>
      <c r="H367" s="215" t="s">
        <v>55</v>
      </c>
      <c r="I367" s="215" t="s">
        <v>56</v>
      </c>
      <c r="J367" s="215" t="s">
        <v>57</v>
      </c>
      <c r="K367" s="215" t="s">
        <v>58</v>
      </c>
      <c r="L367" s="215" t="s">
        <v>59</v>
      </c>
      <c r="M367" s="215" t="s">
        <v>60</v>
      </c>
      <c r="N367" s="215" t="s">
        <v>61</v>
      </c>
      <c r="O367" s="220" t="s">
        <v>62</v>
      </c>
      <c r="P367" s="221"/>
      <c r="S367" s="222" t="s">
        <v>63</v>
      </c>
      <c r="T367" s="222"/>
    </row>
    <row r="368" spans="2:20" x14ac:dyDescent="0.25">
      <c r="B368" s="214"/>
      <c r="C368" s="216"/>
      <c r="D368" s="216"/>
      <c r="E368" s="216"/>
      <c r="F368" s="216"/>
      <c r="G368" s="216"/>
      <c r="H368" s="216"/>
      <c r="I368" s="216"/>
      <c r="J368" s="216"/>
      <c r="K368" s="216"/>
      <c r="L368" s="216"/>
      <c r="M368" s="216"/>
      <c r="N368" s="216"/>
      <c r="O368" s="58" t="s">
        <v>64</v>
      </c>
      <c r="P368" s="58" t="s">
        <v>65</v>
      </c>
      <c r="S368" s="143" t="s">
        <v>1</v>
      </c>
      <c r="T368" s="21">
        <f>P369</f>
        <v>148526.00000000003</v>
      </c>
    </row>
    <row r="369" spans="2:20" x14ac:dyDescent="0.25">
      <c r="B369" s="35" t="s">
        <v>66</v>
      </c>
      <c r="C369" s="35">
        <f>$P$92*1.03/12</f>
        <v>12377.16666666667</v>
      </c>
      <c r="D369" s="35">
        <f t="shared" ref="D369:N369" si="207">$P$92*1.03/12</f>
        <v>12377.16666666667</v>
      </c>
      <c r="E369" s="35">
        <f t="shared" si="207"/>
        <v>12377.16666666667</v>
      </c>
      <c r="F369" s="35">
        <f t="shared" si="207"/>
        <v>12377.16666666667</v>
      </c>
      <c r="G369" s="35">
        <f t="shared" si="207"/>
        <v>12377.16666666667</v>
      </c>
      <c r="H369" s="35">
        <f t="shared" si="207"/>
        <v>12377.16666666667</v>
      </c>
      <c r="I369" s="35">
        <f t="shared" si="207"/>
        <v>12377.16666666667</v>
      </c>
      <c r="J369" s="35">
        <f t="shared" si="207"/>
        <v>12377.16666666667</v>
      </c>
      <c r="K369" s="35">
        <f t="shared" si="207"/>
        <v>12377.16666666667</v>
      </c>
      <c r="L369" s="35">
        <f t="shared" si="207"/>
        <v>12377.16666666667</v>
      </c>
      <c r="M369" s="35">
        <f t="shared" si="207"/>
        <v>12377.16666666667</v>
      </c>
      <c r="N369" s="35">
        <f t="shared" si="207"/>
        <v>12377.16666666667</v>
      </c>
      <c r="O369" s="60" t="s">
        <v>1</v>
      </c>
      <c r="P369" s="61">
        <f>SUM(C369:N369)</f>
        <v>148526.00000000003</v>
      </c>
      <c r="S369" s="143" t="s">
        <v>67</v>
      </c>
      <c r="T369" s="21">
        <v>0</v>
      </c>
    </row>
    <row r="370" spans="2:20" x14ac:dyDescent="0.25">
      <c r="B370" s="34" t="s">
        <v>68</v>
      </c>
      <c r="C370" s="34">
        <f>C369*20%</f>
        <v>2475.4333333333343</v>
      </c>
      <c r="D370" s="34">
        <f t="shared" ref="D370:N370" si="208">D369*20%</f>
        <v>2475.4333333333343</v>
      </c>
      <c r="E370" s="34">
        <f t="shared" si="208"/>
        <v>2475.4333333333343</v>
      </c>
      <c r="F370" s="34">
        <f t="shared" si="208"/>
        <v>2475.4333333333343</v>
      </c>
      <c r="G370" s="34">
        <f t="shared" si="208"/>
        <v>2475.4333333333343</v>
      </c>
      <c r="H370" s="34">
        <f t="shared" si="208"/>
        <v>2475.4333333333343</v>
      </c>
      <c r="I370" s="34">
        <f t="shared" si="208"/>
        <v>2475.4333333333343</v>
      </c>
      <c r="J370" s="34">
        <f t="shared" si="208"/>
        <v>2475.4333333333343</v>
      </c>
      <c r="K370" s="34">
        <f t="shared" si="208"/>
        <v>2475.4333333333343</v>
      </c>
      <c r="L370" s="34">
        <f t="shared" si="208"/>
        <v>2475.4333333333343</v>
      </c>
      <c r="M370" s="34">
        <f t="shared" si="208"/>
        <v>2475.4333333333343</v>
      </c>
      <c r="N370" s="34">
        <f t="shared" si="208"/>
        <v>2475.4333333333343</v>
      </c>
      <c r="O370" s="34"/>
      <c r="P370" s="34"/>
      <c r="S370" s="144" t="s">
        <v>10</v>
      </c>
      <c r="T370" s="131">
        <f>T368+T369</f>
        <v>148526.00000000003</v>
      </c>
    </row>
    <row r="371" spans="2:20" x14ac:dyDescent="0.25">
      <c r="B371" s="34" t="s">
        <v>69</v>
      </c>
      <c r="C371" s="34">
        <f>C369+C370</f>
        <v>14852.600000000004</v>
      </c>
      <c r="D371" s="34">
        <f t="shared" ref="D371:N371" si="209">D369+D370</f>
        <v>14852.600000000004</v>
      </c>
      <c r="E371" s="34">
        <f t="shared" si="209"/>
        <v>14852.600000000004</v>
      </c>
      <c r="F371" s="34">
        <f t="shared" si="209"/>
        <v>14852.600000000004</v>
      </c>
      <c r="G371" s="34">
        <f t="shared" si="209"/>
        <v>14852.600000000004</v>
      </c>
      <c r="H371" s="34">
        <f t="shared" si="209"/>
        <v>14852.600000000004</v>
      </c>
      <c r="I371" s="34">
        <f t="shared" si="209"/>
        <v>14852.600000000004</v>
      </c>
      <c r="J371" s="34">
        <f t="shared" si="209"/>
        <v>14852.600000000004</v>
      </c>
      <c r="K371" s="34">
        <f t="shared" si="209"/>
        <v>14852.600000000004</v>
      </c>
      <c r="L371" s="34">
        <f t="shared" si="209"/>
        <v>14852.600000000004</v>
      </c>
      <c r="M371" s="34">
        <f t="shared" si="209"/>
        <v>14852.600000000004</v>
      </c>
      <c r="N371" s="34">
        <f t="shared" si="209"/>
        <v>14852.600000000004</v>
      </c>
      <c r="O371" s="34"/>
      <c r="P371" s="34"/>
      <c r="S371" s="143" t="s">
        <v>70</v>
      </c>
      <c r="T371" s="21">
        <f>P378</f>
        <v>50498.84</v>
      </c>
    </row>
    <row r="372" spans="2:20" x14ac:dyDescent="0.25">
      <c r="B372" s="59" t="s">
        <v>139</v>
      </c>
      <c r="C372" s="59">
        <f>V311</f>
        <v>0</v>
      </c>
      <c r="D372" s="59">
        <f>C371</f>
        <v>14852.600000000004</v>
      </c>
      <c r="E372" s="59">
        <f>D371</f>
        <v>14852.600000000004</v>
      </c>
      <c r="F372" s="59">
        <f>E371</f>
        <v>14852.600000000004</v>
      </c>
      <c r="G372" s="59">
        <f>F371</f>
        <v>14852.600000000004</v>
      </c>
      <c r="H372" s="59">
        <f>G371</f>
        <v>14852.600000000004</v>
      </c>
      <c r="I372" s="59">
        <f t="shared" ref="I372" si="210">H371</f>
        <v>14852.600000000004</v>
      </c>
      <c r="J372" s="59">
        <f t="shared" ref="J372" si="211">I371</f>
        <v>14852.600000000004</v>
      </c>
      <c r="K372" s="59">
        <f t="shared" ref="K372" si="212">J371</f>
        <v>14852.600000000004</v>
      </c>
      <c r="L372" s="59">
        <f t="shared" ref="L372" si="213">K371</f>
        <v>14852.600000000004</v>
      </c>
      <c r="M372" s="59">
        <f t="shared" ref="M372" si="214">L371</f>
        <v>14852.600000000004</v>
      </c>
      <c r="N372" s="59">
        <f t="shared" ref="N372" si="215">M371</f>
        <v>14852.600000000004</v>
      </c>
      <c r="O372" s="60" t="s">
        <v>72</v>
      </c>
      <c r="P372" s="61">
        <f>N371</f>
        <v>14852.600000000004</v>
      </c>
      <c r="S372" s="143" t="s">
        <v>73</v>
      </c>
      <c r="T372" s="21">
        <f>P387</f>
        <v>85200</v>
      </c>
    </row>
    <row r="373" spans="2:20" x14ac:dyDescent="0.25">
      <c r="S373" s="143" t="s">
        <v>18</v>
      </c>
      <c r="T373" s="21">
        <f>P403</f>
        <v>0</v>
      </c>
    </row>
    <row r="374" spans="2:20" x14ac:dyDescent="0.25">
      <c r="S374" s="143" t="s">
        <v>20</v>
      </c>
      <c r="T374" s="21">
        <f>P395</f>
        <v>7500</v>
      </c>
    </row>
    <row r="375" spans="2:20" x14ac:dyDescent="0.25">
      <c r="B375" s="230" t="s">
        <v>155</v>
      </c>
      <c r="C375" s="230"/>
      <c r="D375" s="230"/>
      <c r="E375" s="230"/>
      <c r="F375" s="230"/>
      <c r="G375" s="230"/>
      <c r="H375" s="230"/>
      <c r="I375" s="230"/>
      <c r="J375" s="230"/>
      <c r="K375" s="230"/>
      <c r="L375" s="230"/>
      <c r="M375" s="230"/>
      <c r="N375" s="230"/>
      <c r="O375" s="230"/>
      <c r="P375" s="230"/>
      <c r="S375" s="143" t="s">
        <v>21</v>
      </c>
      <c r="T375" s="21">
        <f>P396</f>
        <v>0</v>
      </c>
    </row>
    <row r="376" spans="2:20" x14ac:dyDescent="0.25">
      <c r="B376" s="213"/>
      <c r="C376" s="215" t="s">
        <v>50</v>
      </c>
      <c r="D376" s="215" t="s">
        <v>51</v>
      </c>
      <c r="E376" s="215" t="s">
        <v>52</v>
      </c>
      <c r="F376" s="215" t="s">
        <v>53</v>
      </c>
      <c r="G376" s="215" t="s">
        <v>54</v>
      </c>
      <c r="H376" s="215" t="s">
        <v>55</v>
      </c>
      <c r="I376" s="215" t="s">
        <v>56</v>
      </c>
      <c r="J376" s="215" t="s">
        <v>57</v>
      </c>
      <c r="K376" s="215" t="s">
        <v>58</v>
      </c>
      <c r="L376" s="215" t="s">
        <v>59</v>
      </c>
      <c r="M376" s="215" t="s">
        <v>60</v>
      </c>
      <c r="N376" s="215" t="s">
        <v>61</v>
      </c>
      <c r="O376" s="220" t="s">
        <v>62</v>
      </c>
      <c r="P376" s="221"/>
      <c r="S376" s="143" t="s">
        <v>75</v>
      </c>
      <c r="T376" s="21">
        <f>P392</f>
        <v>0</v>
      </c>
    </row>
    <row r="377" spans="2:20" x14ac:dyDescent="0.25">
      <c r="B377" s="214"/>
      <c r="C377" s="216"/>
      <c r="D377" s="216"/>
      <c r="E377" s="216"/>
      <c r="F377" s="216"/>
      <c r="G377" s="216"/>
      <c r="H377" s="216"/>
      <c r="I377" s="216"/>
      <c r="J377" s="216"/>
      <c r="K377" s="216"/>
      <c r="L377" s="216"/>
      <c r="M377" s="216"/>
      <c r="N377" s="216"/>
      <c r="O377" s="58" t="s">
        <v>64</v>
      </c>
      <c r="P377" s="58" t="s">
        <v>65</v>
      </c>
      <c r="S377" s="144" t="s">
        <v>76</v>
      </c>
      <c r="T377" s="131">
        <f>SUM(T371:T376)</f>
        <v>143198.84</v>
      </c>
    </row>
    <row r="378" spans="2:20" x14ac:dyDescent="0.25">
      <c r="B378" s="35" t="s">
        <v>77</v>
      </c>
      <c r="C378" s="35">
        <f>C369*34%</f>
        <v>4208.2366666666676</v>
      </c>
      <c r="D378" s="35">
        <f t="shared" ref="D378:N378" si="216">D369*34%</f>
        <v>4208.2366666666676</v>
      </c>
      <c r="E378" s="35">
        <f t="shared" si="216"/>
        <v>4208.2366666666676</v>
      </c>
      <c r="F378" s="35">
        <f t="shared" si="216"/>
        <v>4208.2366666666676</v>
      </c>
      <c r="G378" s="35">
        <f t="shared" si="216"/>
        <v>4208.2366666666676</v>
      </c>
      <c r="H378" s="35">
        <f t="shared" si="216"/>
        <v>4208.2366666666676</v>
      </c>
      <c r="I378" s="35">
        <f t="shared" si="216"/>
        <v>4208.2366666666676</v>
      </c>
      <c r="J378" s="35">
        <f t="shared" si="216"/>
        <v>4208.2366666666676</v>
      </c>
      <c r="K378" s="35">
        <f t="shared" si="216"/>
        <v>4208.2366666666676</v>
      </c>
      <c r="L378" s="35">
        <f t="shared" si="216"/>
        <v>4208.2366666666676</v>
      </c>
      <c r="M378" s="35">
        <f t="shared" si="216"/>
        <v>4208.2366666666676</v>
      </c>
      <c r="N378" s="35">
        <f t="shared" si="216"/>
        <v>4208.2366666666676</v>
      </c>
      <c r="O378" s="60" t="s">
        <v>78</v>
      </c>
      <c r="P378" s="61">
        <f>SUM(C378:N378)</f>
        <v>50498.84</v>
      </c>
      <c r="S378" s="154" t="s">
        <v>30</v>
      </c>
      <c r="T378" s="155">
        <f>T370-T377</f>
        <v>5327.1600000000326</v>
      </c>
    </row>
    <row r="379" spans="2:20" x14ac:dyDescent="0.25">
      <c r="B379" s="34" t="s">
        <v>79</v>
      </c>
      <c r="C379" s="34">
        <f>C378*20%</f>
        <v>841.64733333333356</v>
      </c>
      <c r="D379" s="34">
        <f t="shared" ref="D379:N379" si="217">D378*20%</f>
        <v>841.64733333333356</v>
      </c>
      <c r="E379" s="34">
        <f t="shared" si="217"/>
        <v>841.64733333333356</v>
      </c>
      <c r="F379" s="34">
        <f t="shared" si="217"/>
        <v>841.64733333333356</v>
      </c>
      <c r="G379" s="34">
        <f t="shared" si="217"/>
        <v>841.64733333333356</v>
      </c>
      <c r="H379" s="34">
        <f t="shared" si="217"/>
        <v>841.64733333333356</v>
      </c>
      <c r="I379" s="34">
        <f t="shared" si="217"/>
        <v>841.64733333333356</v>
      </c>
      <c r="J379" s="34">
        <f t="shared" si="217"/>
        <v>841.64733333333356</v>
      </c>
      <c r="K379" s="34">
        <f t="shared" si="217"/>
        <v>841.64733333333356</v>
      </c>
      <c r="L379" s="34">
        <f t="shared" si="217"/>
        <v>841.64733333333356</v>
      </c>
      <c r="M379" s="34">
        <f t="shared" si="217"/>
        <v>841.64733333333356</v>
      </c>
      <c r="N379" s="34">
        <f t="shared" si="217"/>
        <v>841.64733333333356</v>
      </c>
      <c r="O379" s="34"/>
      <c r="P379" s="34"/>
      <c r="S379" s="144" t="s">
        <v>33</v>
      </c>
      <c r="T379" s="131">
        <v>0</v>
      </c>
    </row>
    <row r="380" spans="2:20" x14ac:dyDescent="0.25">
      <c r="B380" s="34" t="s">
        <v>80</v>
      </c>
      <c r="C380" s="34">
        <f>C378+C379</f>
        <v>5049.8840000000009</v>
      </c>
      <c r="D380" s="34">
        <f t="shared" ref="D380:N380" si="218">D378+D379</f>
        <v>5049.8840000000009</v>
      </c>
      <c r="E380" s="34">
        <f t="shared" si="218"/>
        <v>5049.8840000000009</v>
      </c>
      <c r="F380" s="34">
        <f t="shared" si="218"/>
        <v>5049.8840000000009</v>
      </c>
      <c r="G380" s="34">
        <f t="shared" si="218"/>
        <v>5049.8840000000009</v>
      </c>
      <c r="H380" s="34">
        <f t="shared" si="218"/>
        <v>5049.8840000000009</v>
      </c>
      <c r="I380" s="34">
        <f t="shared" si="218"/>
        <v>5049.8840000000009</v>
      </c>
      <c r="J380" s="34">
        <f t="shared" si="218"/>
        <v>5049.8840000000009</v>
      </c>
      <c r="K380" s="34">
        <f t="shared" si="218"/>
        <v>5049.8840000000009</v>
      </c>
      <c r="L380" s="34">
        <f t="shared" si="218"/>
        <v>5049.8840000000009</v>
      </c>
      <c r="M380" s="34">
        <f t="shared" si="218"/>
        <v>5049.8840000000009</v>
      </c>
      <c r="N380" s="34">
        <f t="shared" si="218"/>
        <v>5049.8840000000009</v>
      </c>
      <c r="O380" s="34"/>
      <c r="P380" s="34"/>
      <c r="S380" s="143" t="s">
        <v>36</v>
      </c>
      <c r="T380" s="21">
        <f>P405</f>
        <v>8200</v>
      </c>
    </row>
    <row r="381" spans="2:20" x14ac:dyDescent="0.25">
      <c r="B381" s="59" t="s">
        <v>81</v>
      </c>
      <c r="C381" s="59">
        <f>C380</f>
        <v>5049.8840000000009</v>
      </c>
      <c r="D381" s="59">
        <f>D380</f>
        <v>5049.8840000000009</v>
      </c>
      <c r="E381" s="59">
        <f t="shared" ref="E381:N381" si="219">E380</f>
        <v>5049.8840000000009</v>
      </c>
      <c r="F381" s="59">
        <f t="shared" si="219"/>
        <v>5049.8840000000009</v>
      </c>
      <c r="G381" s="59">
        <f t="shared" si="219"/>
        <v>5049.8840000000009</v>
      </c>
      <c r="H381" s="59">
        <f t="shared" si="219"/>
        <v>5049.8840000000009</v>
      </c>
      <c r="I381" s="59">
        <f t="shared" si="219"/>
        <v>5049.8840000000009</v>
      </c>
      <c r="J381" s="59">
        <f t="shared" si="219"/>
        <v>5049.8840000000009</v>
      </c>
      <c r="K381" s="59">
        <f t="shared" si="219"/>
        <v>5049.8840000000009</v>
      </c>
      <c r="L381" s="59">
        <f t="shared" si="219"/>
        <v>5049.8840000000009</v>
      </c>
      <c r="M381" s="59">
        <f t="shared" si="219"/>
        <v>5049.8840000000009</v>
      </c>
      <c r="N381" s="59">
        <f t="shared" si="219"/>
        <v>5049.8840000000009</v>
      </c>
      <c r="O381" s="60" t="s">
        <v>82</v>
      </c>
      <c r="P381" s="61">
        <v>0</v>
      </c>
      <c r="S381" s="144" t="s">
        <v>37</v>
      </c>
      <c r="T381" s="131">
        <f>T380</f>
        <v>8200</v>
      </c>
    </row>
    <row r="382" spans="2:20" x14ac:dyDescent="0.25">
      <c r="S382" s="154" t="s">
        <v>40</v>
      </c>
      <c r="T382" s="155">
        <f>T379-T381</f>
        <v>-8200</v>
      </c>
    </row>
    <row r="383" spans="2:20" x14ac:dyDescent="0.25">
      <c r="S383" s="154" t="s">
        <v>43</v>
      </c>
      <c r="T383" s="155">
        <f>T378-(-T382)</f>
        <v>-2872.8399999999674</v>
      </c>
    </row>
    <row r="384" spans="2:20" x14ac:dyDescent="0.25">
      <c r="B384" s="230" t="s">
        <v>156</v>
      </c>
      <c r="C384" s="230"/>
      <c r="D384" s="230"/>
      <c r="E384" s="230"/>
      <c r="F384" s="230"/>
      <c r="G384" s="230"/>
      <c r="H384" s="230"/>
      <c r="I384" s="230"/>
      <c r="J384" s="230"/>
      <c r="K384" s="230"/>
      <c r="L384" s="230"/>
      <c r="M384" s="230"/>
      <c r="N384" s="230"/>
      <c r="O384" s="230"/>
      <c r="P384" s="230"/>
      <c r="S384" s="154" t="s">
        <v>45</v>
      </c>
      <c r="T384" s="21"/>
    </row>
    <row r="385" spans="2:24" x14ac:dyDescent="0.25">
      <c r="B385" s="213"/>
      <c r="C385" s="215" t="s">
        <v>50</v>
      </c>
      <c r="D385" s="215" t="s">
        <v>51</v>
      </c>
      <c r="E385" s="215" t="s">
        <v>52</v>
      </c>
      <c r="F385" s="215" t="s">
        <v>53</v>
      </c>
      <c r="G385" s="215" t="s">
        <v>54</v>
      </c>
      <c r="H385" s="215" t="s">
        <v>55</v>
      </c>
      <c r="I385" s="215" t="s">
        <v>56</v>
      </c>
      <c r="J385" s="215" t="s">
        <v>57</v>
      </c>
      <c r="K385" s="215" t="s">
        <v>58</v>
      </c>
      <c r="L385" s="215" t="s">
        <v>59</v>
      </c>
      <c r="M385" s="215" t="s">
        <v>60</v>
      </c>
      <c r="N385" s="215" t="s">
        <v>61</v>
      </c>
      <c r="O385" s="220" t="s">
        <v>62</v>
      </c>
      <c r="P385" s="221"/>
      <c r="S385" s="160" t="s">
        <v>47</v>
      </c>
      <c r="T385" s="161">
        <f>T383</f>
        <v>-2872.8399999999674</v>
      </c>
    </row>
    <row r="386" spans="2:24" x14ac:dyDescent="0.25">
      <c r="B386" s="231"/>
      <c r="C386" s="232"/>
      <c r="D386" s="232"/>
      <c r="E386" s="232"/>
      <c r="F386" s="232"/>
      <c r="G386" s="232"/>
      <c r="H386" s="232"/>
      <c r="I386" s="232"/>
      <c r="J386" s="232"/>
      <c r="K386" s="232"/>
      <c r="L386" s="232"/>
      <c r="M386" s="232"/>
      <c r="N386" s="232"/>
      <c r="O386" s="58" t="s">
        <v>64</v>
      </c>
      <c r="P386" s="58" t="s">
        <v>65</v>
      </c>
    </row>
    <row r="387" spans="2:24" x14ac:dyDescent="0.25">
      <c r="B387" s="21" t="s">
        <v>84</v>
      </c>
      <c r="C387" s="21">
        <v>7100</v>
      </c>
      <c r="D387" s="21">
        <v>7100</v>
      </c>
      <c r="E387" s="21">
        <v>7100</v>
      </c>
      <c r="F387" s="21">
        <v>7100</v>
      </c>
      <c r="G387" s="21">
        <v>7100</v>
      </c>
      <c r="H387" s="21">
        <v>7100</v>
      </c>
      <c r="I387" s="21">
        <v>7100</v>
      </c>
      <c r="J387" s="21">
        <v>7100</v>
      </c>
      <c r="K387" s="21">
        <v>7100</v>
      </c>
      <c r="L387" s="21">
        <v>7100</v>
      </c>
      <c r="M387" s="21">
        <v>7100</v>
      </c>
      <c r="N387" s="22">
        <v>7100</v>
      </c>
      <c r="O387" s="60" t="s">
        <v>85</v>
      </c>
      <c r="P387" s="61">
        <f>SUM(C387:N387)</f>
        <v>85200</v>
      </c>
    </row>
    <row r="388" spans="2:24" x14ac:dyDescent="0.25">
      <c r="B388" s="21" t="s">
        <v>86</v>
      </c>
      <c r="C388" s="21">
        <f>C387*20%</f>
        <v>1420</v>
      </c>
      <c r="D388" s="21">
        <f t="shared" ref="D388:N388" si="220">D387*20%</f>
        <v>1420</v>
      </c>
      <c r="E388" s="21">
        <f t="shared" si="220"/>
        <v>1420</v>
      </c>
      <c r="F388" s="21">
        <f t="shared" si="220"/>
        <v>1420</v>
      </c>
      <c r="G388" s="21">
        <f t="shared" si="220"/>
        <v>1420</v>
      </c>
      <c r="H388" s="21">
        <f t="shared" si="220"/>
        <v>1420</v>
      </c>
      <c r="I388" s="21">
        <f t="shared" si="220"/>
        <v>1420</v>
      </c>
      <c r="J388" s="21">
        <f t="shared" si="220"/>
        <v>1420</v>
      </c>
      <c r="K388" s="21">
        <f t="shared" si="220"/>
        <v>1420</v>
      </c>
      <c r="L388" s="21">
        <f t="shared" si="220"/>
        <v>1420</v>
      </c>
      <c r="M388" s="21">
        <f t="shared" si="220"/>
        <v>1420</v>
      </c>
      <c r="N388" s="22">
        <f t="shared" si="220"/>
        <v>1420</v>
      </c>
      <c r="O388" s="47"/>
      <c r="P388" s="48"/>
    </row>
    <row r="389" spans="2:24" x14ac:dyDescent="0.25">
      <c r="B389" s="23" t="s">
        <v>87</v>
      </c>
      <c r="C389" s="23">
        <f>C387+C388</f>
        <v>8520</v>
      </c>
      <c r="D389" s="23">
        <f t="shared" ref="D389:N389" si="221">D387+D388</f>
        <v>8520</v>
      </c>
      <c r="E389" s="23">
        <f t="shared" si="221"/>
        <v>8520</v>
      </c>
      <c r="F389" s="23">
        <f t="shared" si="221"/>
        <v>8520</v>
      </c>
      <c r="G389" s="23">
        <f t="shared" si="221"/>
        <v>8520</v>
      </c>
      <c r="H389" s="23">
        <f t="shared" si="221"/>
        <v>8520</v>
      </c>
      <c r="I389" s="23">
        <f t="shared" si="221"/>
        <v>8520</v>
      </c>
      <c r="J389" s="23">
        <f t="shared" si="221"/>
        <v>8520</v>
      </c>
      <c r="K389" s="23">
        <f t="shared" si="221"/>
        <v>8520</v>
      </c>
      <c r="L389" s="23">
        <f t="shared" si="221"/>
        <v>8520</v>
      </c>
      <c r="M389" s="23">
        <f t="shared" si="221"/>
        <v>8520</v>
      </c>
      <c r="N389" s="25">
        <f t="shared" si="221"/>
        <v>8520</v>
      </c>
      <c r="O389" s="34"/>
      <c r="P389" s="34"/>
      <c r="S389" s="223" t="s">
        <v>88</v>
      </c>
      <c r="T389" s="224"/>
      <c r="U389" s="224"/>
      <c r="V389" s="224"/>
      <c r="W389" s="224"/>
      <c r="X389" s="224"/>
    </row>
    <row r="390" spans="2:24" ht="30" x14ac:dyDescent="0.25">
      <c r="B390" s="59" t="s">
        <v>81</v>
      </c>
      <c r="C390" s="59">
        <f>+C387+C388</f>
        <v>8520</v>
      </c>
      <c r="D390" s="59">
        <f t="shared" ref="D390:N390" si="222">+D387+D388</f>
        <v>8520</v>
      </c>
      <c r="E390" s="59">
        <f t="shared" si="222"/>
        <v>8520</v>
      </c>
      <c r="F390" s="59">
        <f t="shared" si="222"/>
        <v>8520</v>
      </c>
      <c r="G390" s="59">
        <f t="shared" si="222"/>
        <v>8520</v>
      </c>
      <c r="H390" s="59">
        <f t="shared" si="222"/>
        <v>8520</v>
      </c>
      <c r="I390" s="59">
        <f t="shared" si="222"/>
        <v>8520</v>
      </c>
      <c r="J390" s="59">
        <f t="shared" si="222"/>
        <v>8520</v>
      </c>
      <c r="K390" s="59">
        <f t="shared" si="222"/>
        <v>8520</v>
      </c>
      <c r="L390" s="59">
        <f t="shared" si="222"/>
        <v>8520</v>
      </c>
      <c r="M390" s="59">
        <f t="shared" si="222"/>
        <v>8520</v>
      </c>
      <c r="N390" s="59">
        <f t="shared" si="222"/>
        <v>8520</v>
      </c>
      <c r="O390" s="47"/>
      <c r="P390" s="34"/>
      <c r="S390" s="144" t="s">
        <v>2</v>
      </c>
      <c r="T390" s="145" t="s">
        <v>3</v>
      </c>
      <c r="U390" s="145" t="s">
        <v>4</v>
      </c>
      <c r="V390" s="145" t="s">
        <v>5</v>
      </c>
      <c r="W390" s="146" t="s">
        <v>6</v>
      </c>
      <c r="X390" s="147" t="s">
        <v>5</v>
      </c>
    </row>
    <row r="391" spans="2:24" x14ac:dyDescent="0.25">
      <c r="B391" s="28" t="s">
        <v>89</v>
      </c>
      <c r="C391" s="21"/>
      <c r="D391" s="21"/>
      <c r="E391" s="21"/>
      <c r="F391" s="21"/>
      <c r="G391" s="21"/>
      <c r="H391" s="21"/>
      <c r="I391" s="21"/>
      <c r="J391" s="21"/>
      <c r="K391" s="21"/>
      <c r="L391" s="21"/>
      <c r="M391" s="21"/>
      <c r="N391" s="22">
        <v>7500</v>
      </c>
      <c r="O391" s="47"/>
      <c r="P391" s="48"/>
      <c r="S391" s="148" t="s">
        <v>8</v>
      </c>
      <c r="T391" s="148">
        <f>SUM(T392:T395)</f>
        <v>236500</v>
      </c>
      <c r="U391" s="148">
        <f>SUM(U392:U393)</f>
        <v>39100</v>
      </c>
      <c r="V391" s="148">
        <f>SUM(V392:V393)</f>
        <v>197400</v>
      </c>
      <c r="W391" s="148" t="s">
        <v>9</v>
      </c>
      <c r="X391" s="149">
        <f>SUM(X392:X395)</f>
        <v>70027.160000000033</v>
      </c>
    </row>
    <row r="392" spans="2:24" x14ac:dyDescent="0.25">
      <c r="B392" s="26" t="s">
        <v>144</v>
      </c>
      <c r="C392" s="27"/>
      <c r="D392" s="21"/>
      <c r="E392" s="21"/>
      <c r="F392" s="21"/>
      <c r="G392" s="21"/>
      <c r="H392" s="21"/>
      <c r="I392" s="21"/>
      <c r="J392" s="21"/>
      <c r="K392" s="21"/>
      <c r="L392" s="21"/>
      <c r="M392" s="21"/>
      <c r="N392" s="22">
        <f>Emprunt!K193</f>
        <v>0</v>
      </c>
      <c r="O392" s="60" t="s">
        <v>90</v>
      </c>
      <c r="P392" s="61">
        <f>N392</f>
        <v>0</v>
      </c>
      <c r="S392" s="150" t="s">
        <v>11</v>
      </c>
      <c r="T392" s="150">
        <v>159000</v>
      </c>
      <c r="U392" s="150">
        <f>8500+AB395</f>
        <v>8500</v>
      </c>
      <c r="V392" s="150">
        <f>T392-U392</f>
        <v>150500</v>
      </c>
      <c r="W392" s="150" t="s">
        <v>12</v>
      </c>
      <c r="X392" s="151">
        <v>50000</v>
      </c>
    </row>
    <row r="393" spans="2:24" x14ac:dyDescent="0.25">
      <c r="B393" s="30" t="s">
        <v>145</v>
      </c>
      <c r="C393" s="31"/>
      <c r="D393" s="31"/>
      <c r="E393" s="31"/>
      <c r="F393" s="31"/>
      <c r="G393" s="31"/>
      <c r="H393" s="31"/>
      <c r="I393" s="31"/>
      <c r="J393" s="31"/>
      <c r="K393" s="31"/>
      <c r="L393" s="31"/>
      <c r="M393" s="31"/>
      <c r="N393" s="32">
        <f>Emprunt!K202</f>
        <v>0</v>
      </c>
      <c r="O393" s="60" t="s">
        <v>90</v>
      </c>
      <c r="P393" s="61">
        <f t="shared" ref="P393:P394" si="223">N393</f>
        <v>0</v>
      </c>
      <c r="S393" s="150" t="s">
        <v>14</v>
      </c>
      <c r="T393" s="150">
        <f>55000+22500</f>
        <v>77500</v>
      </c>
      <c r="U393" s="150">
        <f>30600+AA394+P391</f>
        <v>30600</v>
      </c>
      <c r="V393" s="150">
        <f>T393-U393</f>
        <v>46900</v>
      </c>
      <c r="W393" s="150" t="s">
        <v>15</v>
      </c>
      <c r="X393" s="151">
        <v>5000</v>
      </c>
    </row>
    <row r="394" spans="2:24" ht="30" x14ac:dyDescent="0.25">
      <c r="B394" s="24" t="s">
        <v>158</v>
      </c>
      <c r="C394" s="21"/>
      <c r="D394" s="21"/>
      <c r="E394" s="21"/>
      <c r="F394" s="21"/>
      <c r="G394" s="21"/>
      <c r="H394" s="21"/>
      <c r="I394" s="21"/>
      <c r="J394" s="21"/>
      <c r="K394" s="21"/>
      <c r="L394" s="21"/>
      <c r="M394" s="21"/>
      <c r="N394" s="32">
        <f>Emprunt!K215</f>
        <v>0</v>
      </c>
      <c r="O394" s="60" t="s">
        <v>90</v>
      </c>
      <c r="P394" s="61">
        <f t="shared" si="223"/>
        <v>0</v>
      </c>
      <c r="S394" s="148"/>
      <c r="T394" s="148"/>
      <c r="U394" s="148"/>
      <c r="V394" s="148"/>
      <c r="W394" s="150" t="s">
        <v>17</v>
      </c>
      <c r="X394" s="151">
        <f>17900+'Bilan et CDR N'!C387</f>
        <v>17900</v>
      </c>
    </row>
    <row r="395" spans="2:24" x14ac:dyDescent="0.25">
      <c r="B395" s="59" t="s">
        <v>94</v>
      </c>
      <c r="C395" s="59">
        <f>C391+C392</f>
        <v>0</v>
      </c>
      <c r="D395" s="59">
        <f t="shared" ref="D395:M395" si="224">D391+D392</f>
        <v>0</v>
      </c>
      <c r="E395" s="59">
        <f t="shared" si="224"/>
        <v>0</v>
      </c>
      <c r="F395" s="59">
        <f t="shared" si="224"/>
        <v>0</v>
      </c>
      <c r="G395" s="59">
        <f t="shared" si="224"/>
        <v>0</v>
      </c>
      <c r="H395" s="59">
        <f t="shared" si="224"/>
        <v>0</v>
      </c>
      <c r="I395" s="59">
        <f t="shared" si="224"/>
        <v>0</v>
      </c>
      <c r="J395" s="59">
        <f t="shared" si="224"/>
        <v>0</v>
      </c>
      <c r="K395" s="59">
        <f t="shared" si="224"/>
        <v>0</v>
      </c>
      <c r="L395" s="59">
        <f t="shared" si="224"/>
        <v>0</v>
      </c>
      <c r="M395" s="59">
        <f t="shared" si="224"/>
        <v>0</v>
      </c>
      <c r="N395" s="59">
        <f>N391+N392+N393+N394</f>
        <v>7500</v>
      </c>
      <c r="O395" s="60" t="s">
        <v>93</v>
      </c>
      <c r="P395" s="61">
        <f>SUM(C395:N395)</f>
        <v>7500</v>
      </c>
      <c r="S395" s="150"/>
      <c r="T395" s="150"/>
      <c r="U395" s="150"/>
      <c r="V395" s="150"/>
      <c r="W395" s="150" t="s">
        <v>19</v>
      </c>
      <c r="X395" s="151">
        <f>T385</f>
        <v>-2872.8399999999674</v>
      </c>
    </row>
    <row r="396" spans="2:24" x14ac:dyDescent="0.25">
      <c r="B396" s="21" t="s">
        <v>95</v>
      </c>
      <c r="C396" s="21">
        <f t="shared" ref="C396:N396" si="225">307500/12</f>
        <v>25625</v>
      </c>
      <c r="D396" s="21">
        <f t="shared" si="225"/>
        <v>25625</v>
      </c>
      <c r="E396" s="21">
        <f t="shared" si="225"/>
        <v>25625</v>
      </c>
      <c r="F396" s="21">
        <f t="shared" si="225"/>
        <v>25625</v>
      </c>
      <c r="G396" s="21">
        <f t="shared" si="225"/>
        <v>25625</v>
      </c>
      <c r="H396" s="21">
        <f t="shared" si="225"/>
        <v>25625</v>
      </c>
      <c r="I396" s="21">
        <f t="shared" si="225"/>
        <v>25625</v>
      </c>
      <c r="J396" s="21">
        <f t="shared" si="225"/>
        <v>25625</v>
      </c>
      <c r="K396" s="21">
        <f t="shared" si="225"/>
        <v>25625</v>
      </c>
      <c r="L396" s="21">
        <f t="shared" si="225"/>
        <v>25625</v>
      </c>
      <c r="M396" s="21">
        <f t="shared" si="225"/>
        <v>25625</v>
      </c>
      <c r="N396" s="22">
        <f t="shared" si="225"/>
        <v>25625</v>
      </c>
      <c r="O396" s="47"/>
      <c r="P396" s="48"/>
      <c r="S396" s="152"/>
      <c r="T396" s="153"/>
      <c r="V396" s="153"/>
      <c r="W396" s="151"/>
      <c r="X396" s="149"/>
    </row>
    <row r="397" spans="2:24" x14ac:dyDescent="0.25">
      <c r="B397" s="59" t="s">
        <v>96</v>
      </c>
      <c r="C397" s="59">
        <f t="shared" ref="C397:N397" si="226">C396</f>
        <v>25625</v>
      </c>
      <c r="D397" s="59">
        <f t="shared" si="226"/>
        <v>25625</v>
      </c>
      <c r="E397" s="59">
        <f t="shared" si="226"/>
        <v>25625</v>
      </c>
      <c r="F397" s="59">
        <f t="shared" si="226"/>
        <v>25625</v>
      </c>
      <c r="G397" s="59">
        <f t="shared" si="226"/>
        <v>25625</v>
      </c>
      <c r="H397" s="59">
        <f t="shared" si="226"/>
        <v>25625</v>
      </c>
      <c r="I397" s="59">
        <f t="shared" si="226"/>
        <v>25625</v>
      </c>
      <c r="J397" s="59">
        <f t="shared" si="226"/>
        <v>25625</v>
      </c>
      <c r="K397" s="59">
        <f t="shared" si="226"/>
        <v>25625</v>
      </c>
      <c r="L397" s="59">
        <f t="shared" si="226"/>
        <v>25625</v>
      </c>
      <c r="M397" s="59">
        <f t="shared" si="226"/>
        <v>25625</v>
      </c>
      <c r="N397" s="59">
        <f t="shared" si="226"/>
        <v>25625</v>
      </c>
      <c r="O397" s="60" t="s">
        <v>97</v>
      </c>
      <c r="P397" s="61">
        <f>SUM(C397:N397)</f>
        <v>307500</v>
      </c>
      <c r="S397" s="148" t="s">
        <v>22</v>
      </c>
      <c r="T397" s="148">
        <f>SUM(T398:T400)</f>
        <v>-395027.98400000005</v>
      </c>
      <c r="U397" s="148">
        <f>SUM(U398:U400)</f>
        <v>0</v>
      </c>
      <c r="V397" s="148">
        <f>SUM(V398:V400)</f>
        <v>-395027.98400000005</v>
      </c>
      <c r="W397" s="148" t="s">
        <v>23</v>
      </c>
      <c r="X397" s="149">
        <f>SUM(X398:X401)</f>
        <v>307500</v>
      </c>
    </row>
    <row r="398" spans="2:24" ht="30" x14ac:dyDescent="0.25">
      <c r="B398" s="21" t="s">
        <v>21</v>
      </c>
      <c r="C398" s="21">
        <f t="shared" ref="C398:N398" si="227">C396*0.4</f>
        <v>10250</v>
      </c>
      <c r="D398" s="21">
        <f t="shared" si="227"/>
        <v>10250</v>
      </c>
      <c r="E398" s="21">
        <f t="shared" si="227"/>
        <v>10250</v>
      </c>
      <c r="F398" s="21">
        <f t="shared" si="227"/>
        <v>10250</v>
      </c>
      <c r="G398" s="21">
        <f t="shared" si="227"/>
        <v>10250</v>
      </c>
      <c r="H398" s="21">
        <f t="shared" si="227"/>
        <v>10250</v>
      </c>
      <c r="I398" s="21">
        <f t="shared" si="227"/>
        <v>10250</v>
      </c>
      <c r="J398" s="21">
        <f t="shared" si="227"/>
        <v>10250</v>
      </c>
      <c r="K398" s="21">
        <f t="shared" si="227"/>
        <v>10250</v>
      </c>
      <c r="L398" s="21">
        <f t="shared" si="227"/>
        <v>10250</v>
      </c>
      <c r="M398" s="21">
        <f t="shared" si="227"/>
        <v>10250</v>
      </c>
      <c r="N398" s="22">
        <f t="shared" si="227"/>
        <v>10250</v>
      </c>
      <c r="O398" s="60" t="s">
        <v>98</v>
      </c>
      <c r="P398" s="61">
        <f>SUM(C398:N398)</f>
        <v>123000</v>
      </c>
      <c r="S398" s="150" t="s">
        <v>25</v>
      </c>
      <c r="T398" s="150">
        <v>15000</v>
      </c>
      <c r="U398" s="150"/>
      <c r="V398" s="150">
        <f>T398-U398</f>
        <v>15000</v>
      </c>
      <c r="W398" s="150" t="s">
        <v>26</v>
      </c>
      <c r="X398" s="151">
        <f>Emprunt!G373</f>
        <v>0</v>
      </c>
    </row>
    <row r="399" spans="2:24" ht="30" x14ac:dyDescent="0.25">
      <c r="B399" s="59" t="s">
        <v>99</v>
      </c>
      <c r="C399" s="59" t="str">
        <f>P310</f>
        <v>Montant</v>
      </c>
      <c r="D399" s="59">
        <f t="shared" ref="D399" si="228">C398</f>
        <v>10250</v>
      </c>
      <c r="E399" s="59">
        <f t="shared" ref="E399" si="229">D398</f>
        <v>10250</v>
      </c>
      <c r="F399" s="59">
        <f t="shared" ref="F399" si="230">E398</f>
        <v>10250</v>
      </c>
      <c r="G399" s="59">
        <f t="shared" ref="G399" si="231">F398</f>
        <v>10250</v>
      </c>
      <c r="H399" s="59">
        <f t="shared" ref="H399" si="232">G398</f>
        <v>10250</v>
      </c>
      <c r="I399" s="59">
        <f t="shared" ref="I399" si="233">H398</f>
        <v>10250</v>
      </c>
      <c r="J399" s="59">
        <f t="shared" ref="J399" si="234">I398</f>
        <v>10250</v>
      </c>
      <c r="K399" s="59">
        <f t="shared" ref="K399" si="235">J398</f>
        <v>10250</v>
      </c>
      <c r="L399" s="59">
        <f t="shared" ref="L399" si="236">K398</f>
        <v>10250</v>
      </c>
      <c r="M399" s="59">
        <f t="shared" ref="M399" si="237">L398</f>
        <v>10250</v>
      </c>
      <c r="N399" s="59">
        <f t="shared" ref="N399" si="238">M398</f>
        <v>10250</v>
      </c>
      <c r="O399" s="60" t="s">
        <v>100</v>
      </c>
      <c r="P399" s="61">
        <f>N398</f>
        <v>10250</v>
      </c>
      <c r="S399" s="150" t="s">
        <v>28</v>
      </c>
      <c r="T399" s="150">
        <f>P372</f>
        <v>14852.600000000004</v>
      </c>
      <c r="U399" s="150"/>
      <c r="V399" s="150">
        <f>T399-U399</f>
        <v>14852.600000000004</v>
      </c>
      <c r="W399" s="150" t="s">
        <v>29</v>
      </c>
      <c r="X399" s="151">
        <f>P428+P397</f>
        <v>307500</v>
      </c>
    </row>
    <row r="400" spans="2:24" ht="30" x14ac:dyDescent="0.25">
      <c r="S400" s="150" t="s">
        <v>34</v>
      </c>
      <c r="T400" s="150">
        <f>N449</f>
        <v>-424880.58400000003</v>
      </c>
      <c r="U400" s="150"/>
      <c r="V400" s="150">
        <f>T400-U400</f>
        <v>-424880.58400000003</v>
      </c>
      <c r="W400" s="150" t="s">
        <v>32</v>
      </c>
      <c r="X400" s="151">
        <f>'HYP 1 '!AC449+'HYP 1 '!AC418</f>
        <v>0</v>
      </c>
    </row>
    <row r="401" spans="2:24" x14ac:dyDescent="0.25">
      <c r="S401" s="150"/>
      <c r="T401" s="150"/>
      <c r="U401" s="150"/>
      <c r="V401" s="150"/>
      <c r="W401" s="150"/>
      <c r="X401" s="151"/>
    </row>
    <row r="402" spans="2:24" x14ac:dyDescent="0.25">
      <c r="B402" s="219" t="s">
        <v>160</v>
      </c>
      <c r="C402" s="219"/>
      <c r="D402" s="219"/>
      <c r="E402" s="219"/>
      <c r="F402" s="219"/>
      <c r="G402" s="219"/>
      <c r="H402" s="219"/>
      <c r="I402" s="219"/>
      <c r="J402" s="219"/>
      <c r="K402" s="219"/>
      <c r="L402" s="219"/>
      <c r="M402" s="219"/>
      <c r="N402" s="219"/>
      <c r="O402" s="219"/>
      <c r="P402" s="219"/>
      <c r="S402" s="156" t="s">
        <v>38</v>
      </c>
      <c r="T402" s="156">
        <f>T391+T397</f>
        <v>-158527.98400000005</v>
      </c>
      <c r="U402" s="156">
        <f>U391</f>
        <v>39100</v>
      </c>
      <c r="V402" s="156">
        <f>T402-U402</f>
        <v>-197627.98400000005</v>
      </c>
      <c r="W402" s="156" t="s">
        <v>39</v>
      </c>
      <c r="X402" s="157">
        <f>X391+X397</f>
        <v>377527.16000000003</v>
      </c>
    </row>
    <row r="403" spans="2:24" x14ac:dyDescent="0.25">
      <c r="B403" s="213"/>
      <c r="C403" s="215" t="s">
        <v>50</v>
      </c>
      <c r="D403" s="215" t="s">
        <v>51</v>
      </c>
      <c r="E403" s="215" t="s">
        <v>52</v>
      </c>
      <c r="F403" s="215" t="s">
        <v>53</v>
      </c>
      <c r="G403" s="215" t="s">
        <v>54</v>
      </c>
      <c r="H403" s="215" t="s">
        <v>55</v>
      </c>
      <c r="I403" s="215" t="s">
        <v>56</v>
      </c>
      <c r="J403" s="215" t="s">
        <v>57</v>
      </c>
      <c r="K403" s="215" t="s">
        <v>58</v>
      </c>
      <c r="L403" s="215" t="s">
        <v>59</v>
      </c>
      <c r="M403" s="215" t="s">
        <v>60</v>
      </c>
      <c r="N403" s="215" t="s">
        <v>61</v>
      </c>
      <c r="O403" s="220" t="s">
        <v>62</v>
      </c>
      <c r="P403" s="221"/>
    </row>
    <row r="404" spans="2:24" x14ac:dyDescent="0.25">
      <c r="B404" s="214"/>
      <c r="C404" s="216"/>
      <c r="D404" s="216"/>
      <c r="E404" s="216"/>
      <c r="F404" s="216"/>
      <c r="G404" s="216"/>
      <c r="H404" s="216"/>
      <c r="I404" s="216"/>
      <c r="J404" s="216"/>
      <c r="K404" s="216"/>
      <c r="L404" s="216"/>
      <c r="M404" s="216"/>
      <c r="N404" s="216"/>
      <c r="O404" s="58" t="s">
        <v>64</v>
      </c>
      <c r="P404" s="58" t="s">
        <v>65</v>
      </c>
    </row>
    <row r="405" spans="2:24" x14ac:dyDescent="0.25">
      <c r="B405" s="46" t="s">
        <v>102</v>
      </c>
      <c r="C405" s="35"/>
      <c r="D405" s="35"/>
      <c r="E405" s="35"/>
      <c r="F405" s="35"/>
      <c r="G405" s="35"/>
      <c r="H405" s="35"/>
      <c r="I405" s="35"/>
      <c r="J405" s="35"/>
      <c r="K405" s="35"/>
      <c r="L405" s="35">
        <v>8200</v>
      </c>
      <c r="M405" s="35"/>
      <c r="N405" s="35"/>
      <c r="O405" s="60" t="s">
        <v>103</v>
      </c>
      <c r="P405" s="61">
        <f>SUM(C405:N405)</f>
        <v>8200</v>
      </c>
    </row>
    <row r="406" spans="2:24" x14ac:dyDescent="0.25">
      <c r="B406" s="34" t="s">
        <v>105</v>
      </c>
      <c r="C406" s="34"/>
      <c r="D406" s="34"/>
      <c r="E406" s="34"/>
      <c r="F406" s="34"/>
      <c r="G406" s="34"/>
      <c r="H406" s="34"/>
      <c r="I406" s="34"/>
      <c r="J406" s="34"/>
      <c r="K406" s="34"/>
      <c r="L406" s="35">
        <v>8200</v>
      </c>
      <c r="M406" s="34"/>
      <c r="N406" s="34"/>
      <c r="O406" s="34"/>
      <c r="P406" s="34"/>
    </row>
    <row r="407" spans="2:24" x14ac:dyDescent="0.25">
      <c r="B407" s="34" t="s">
        <v>106</v>
      </c>
      <c r="C407" s="34">
        <f>$P$220/12</f>
        <v>175</v>
      </c>
      <c r="D407" s="34">
        <f t="shared" ref="D407:N407" si="239">$P$220/12</f>
        <v>175</v>
      </c>
      <c r="E407" s="34">
        <f t="shared" si="239"/>
        <v>175</v>
      </c>
      <c r="F407" s="34">
        <f t="shared" si="239"/>
        <v>175</v>
      </c>
      <c r="G407" s="34">
        <f t="shared" si="239"/>
        <v>175</v>
      </c>
      <c r="H407" s="34">
        <f t="shared" si="239"/>
        <v>175</v>
      </c>
      <c r="I407" s="34">
        <f t="shared" si="239"/>
        <v>175</v>
      </c>
      <c r="J407" s="34">
        <f t="shared" si="239"/>
        <v>175</v>
      </c>
      <c r="K407" s="34">
        <f t="shared" si="239"/>
        <v>175</v>
      </c>
      <c r="L407" s="34">
        <f t="shared" si="239"/>
        <v>175</v>
      </c>
      <c r="M407" s="34">
        <f t="shared" si="239"/>
        <v>175</v>
      </c>
      <c r="N407" s="34">
        <f t="shared" si="239"/>
        <v>175</v>
      </c>
      <c r="O407" s="60" t="s">
        <v>107</v>
      </c>
      <c r="P407" s="61">
        <f>Emprunt!D198</f>
        <v>0</v>
      </c>
    </row>
    <row r="408" spans="2:24" x14ac:dyDescent="0.25">
      <c r="B408" s="34" t="s">
        <v>108</v>
      </c>
      <c r="C408" s="34">
        <f>$P$221/12</f>
        <v>2500</v>
      </c>
      <c r="D408" s="34">
        <f t="shared" ref="D408:N408" si="240">$P$221/12</f>
        <v>2500</v>
      </c>
      <c r="E408" s="34">
        <f t="shared" si="240"/>
        <v>2500</v>
      </c>
      <c r="F408" s="34">
        <f t="shared" si="240"/>
        <v>2500</v>
      </c>
      <c r="G408" s="34">
        <f t="shared" si="240"/>
        <v>2500</v>
      </c>
      <c r="H408" s="34">
        <f t="shared" si="240"/>
        <v>2500</v>
      </c>
      <c r="I408" s="34">
        <f t="shared" si="240"/>
        <v>2500</v>
      </c>
      <c r="J408" s="34">
        <f t="shared" si="240"/>
        <v>2500</v>
      </c>
      <c r="K408" s="34">
        <f t="shared" si="240"/>
        <v>2500</v>
      </c>
      <c r="L408" s="34">
        <f t="shared" si="240"/>
        <v>2500</v>
      </c>
      <c r="M408" s="34">
        <f t="shared" si="240"/>
        <v>2500</v>
      </c>
      <c r="N408" s="34">
        <f t="shared" si="240"/>
        <v>2500</v>
      </c>
      <c r="O408" s="60" t="s">
        <v>109</v>
      </c>
      <c r="P408" s="61">
        <f>Emprunt!E197</f>
        <v>0</v>
      </c>
    </row>
    <row r="409" spans="2:24" x14ac:dyDescent="0.25">
      <c r="B409" s="59" t="s">
        <v>71</v>
      </c>
      <c r="C409" s="59">
        <f>C407+C408</f>
        <v>2675</v>
      </c>
      <c r="D409" s="59">
        <f t="shared" ref="D409:N409" si="241">D407+D408</f>
        <v>2675</v>
      </c>
      <c r="E409" s="59">
        <f t="shared" si="241"/>
        <v>2675</v>
      </c>
      <c r="F409" s="59">
        <f t="shared" si="241"/>
        <v>2675</v>
      </c>
      <c r="G409" s="59">
        <f t="shared" si="241"/>
        <v>2675</v>
      </c>
      <c r="H409" s="59">
        <f t="shared" si="241"/>
        <v>2675</v>
      </c>
      <c r="I409" s="59">
        <f t="shared" si="241"/>
        <v>2675</v>
      </c>
      <c r="J409" s="59">
        <f t="shared" si="241"/>
        <v>2675</v>
      </c>
      <c r="K409" s="59">
        <f t="shared" si="241"/>
        <v>2675</v>
      </c>
      <c r="L409" s="59">
        <f t="shared" si="241"/>
        <v>2675</v>
      </c>
      <c r="M409" s="59">
        <f t="shared" si="241"/>
        <v>2675</v>
      </c>
      <c r="N409" s="59">
        <f t="shared" si="241"/>
        <v>2675</v>
      </c>
      <c r="O409" s="38"/>
      <c r="P409" s="38"/>
    </row>
    <row r="412" spans="2:24" x14ac:dyDescent="0.25">
      <c r="B412" s="177" t="s">
        <v>161</v>
      </c>
      <c r="C412" s="36"/>
      <c r="D412" s="36"/>
      <c r="E412" s="36"/>
      <c r="F412" s="36"/>
      <c r="G412" s="36"/>
      <c r="H412" s="36"/>
      <c r="I412" s="36"/>
      <c r="J412" s="36"/>
      <c r="K412" s="36"/>
      <c r="L412" s="36"/>
      <c r="M412" s="36"/>
      <c r="N412" s="36"/>
      <c r="O412" s="36"/>
      <c r="P412" s="36"/>
    </row>
    <row r="413" spans="2:24" x14ac:dyDescent="0.25">
      <c r="B413" s="213"/>
      <c r="C413" s="215" t="s">
        <v>50</v>
      </c>
      <c r="D413" s="215" t="s">
        <v>51</v>
      </c>
      <c r="E413" s="215" t="s">
        <v>52</v>
      </c>
      <c r="F413" s="215" t="s">
        <v>53</v>
      </c>
      <c r="G413" s="215" t="s">
        <v>54</v>
      </c>
      <c r="H413" s="215" t="s">
        <v>55</v>
      </c>
      <c r="I413" s="215" t="s">
        <v>56</v>
      </c>
      <c r="J413" s="215" t="s">
        <v>57</v>
      </c>
      <c r="K413" s="215" t="s">
        <v>58</v>
      </c>
      <c r="L413" s="215" t="s">
        <v>59</v>
      </c>
      <c r="M413" s="215" t="s">
        <v>60</v>
      </c>
      <c r="N413" s="215" t="s">
        <v>61</v>
      </c>
      <c r="O413" s="220" t="s">
        <v>62</v>
      </c>
      <c r="P413" s="221"/>
    </row>
    <row r="414" spans="2:24" x14ac:dyDescent="0.25">
      <c r="B414" s="214"/>
      <c r="C414" s="216"/>
      <c r="D414" s="216"/>
      <c r="E414" s="216"/>
      <c r="F414" s="216"/>
      <c r="G414" s="216"/>
      <c r="H414" s="216"/>
      <c r="I414" s="216"/>
      <c r="J414" s="216"/>
      <c r="K414" s="216"/>
      <c r="L414" s="216"/>
      <c r="M414" s="216"/>
      <c r="N414" s="216"/>
      <c r="O414" s="58" t="s">
        <v>64</v>
      </c>
      <c r="P414" s="58" t="s">
        <v>65</v>
      </c>
    </row>
    <row r="415" spans="2:24" x14ac:dyDescent="0.25">
      <c r="B415" s="35" t="s">
        <v>111</v>
      </c>
      <c r="C415" s="35">
        <f>Emprunt!J215</f>
        <v>0</v>
      </c>
      <c r="D415" s="35"/>
      <c r="E415" s="35"/>
      <c r="F415" s="35"/>
      <c r="G415" s="35"/>
      <c r="H415" s="35"/>
      <c r="I415" s="35"/>
      <c r="J415" s="35"/>
      <c r="K415" s="35"/>
      <c r="L415" s="35"/>
      <c r="M415" s="35"/>
      <c r="N415" s="35"/>
      <c r="O415" s="60" t="s">
        <v>112</v>
      </c>
      <c r="P415" s="61">
        <f>SUM(C415:N415)</f>
        <v>0</v>
      </c>
    </row>
    <row r="416" spans="2:24" x14ac:dyDescent="0.25">
      <c r="B416" s="34" t="s">
        <v>113</v>
      </c>
      <c r="C416" s="34">
        <f>C415*20%</f>
        <v>0</v>
      </c>
      <c r="D416" s="34">
        <f t="shared" ref="D416:N416" si="242">D415*20%</f>
        <v>0</v>
      </c>
      <c r="E416" s="34">
        <f t="shared" si="242"/>
        <v>0</v>
      </c>
      <c r="F416" s="34">
        <f t="shared" si="242"/>
        <v>0</v>
      </c>
      <c r="G416" s="34">
        <f t="shared" si="242"/>
        <v>0</v>
      </c>
      <c r="H416" s="34">
        <f t="shared" si="242"/>
        <v>0</v>
      </c>
      <c r="I416" s="34">
        <f t="shared" si="242"/>
        <v>0</v>
      </c>
      <c r="J416" s="34">
        <f t="shared" si="242"/>
        <v>0</v>
      </c>
      <c r="K416" s="34">
        <f t="shared" si="242"/>
        <v>0</v>
      </c>
      <c r="L416" s="34">
        <f t="shared" si="242"/>
        <v>0</v>
      </c>
      <c r="M416" s="34">
        <f t="shared" si="242"/>
        <v>0</v>
      </c>
      <c r="N416" s="34">
        <f t="shared" si="242"/>
        <v>0</v>
      </c>
      <c r="O416" s="34"/>
      <c r="P416" s="34"/>
    </row>
    <row r="417" spans="2:16" x14ac:dyDescent="0.25">
      <c r="B417" s="34" t="s">
        <v>114</v>
      </c>
      <c r="C417" s="34">
        <f>C415+C416</f>
        <v>0</v>
      </c>
      <c r="D417" s="34">
        <f t="shared" ref="D417:N417" si="243">D415+D416</f>
        <v>0</v>
      </c>
      <c r="E417" s="34">
        <f t="shared" si="243"/>
        <v>0</v>
      </c>
      <c r="F417" s="34">
        <f t="shared" si="243"/>
        <v>0</v>
      </c>
      <c r="G417" s="34">
        <f t="shared" si="243"/>
        <v>0</v>
      </c>
      <c r="H417" s="34">
        <f t="shared" si="243"/>
        <v>0</v>
      </c>
      <c r="I417" s="34">
        <f t="shared" si="243"/>
        <v>0</v>
      </c>
      <c r="J417" s="34">
        <f t="shared" si="243"/>
        <v>0</v>
      </c>
      <c r="K417" s="34">
        <f t="shared" si="243"/>
        <v>0</v>
      </c>
      <c r="L417" s="34">
        <f t="shared" si="243"/>
        <v>0</v>
      </c>
      <c r="M417" s="34">
        <f t="shared" si="243"/>
        <v>0</v>
      </c>
      <c r="N417" s="34">
        <f t="shared" si="243"/>
        <v>0</v>
      </c>
      <c r="O417" s="34"/>
      <c r="P417" s="34"/>
    </row>
    <row r="418" spans="2:16" x14ac:dyDescent="0.25">
      <c r="B418" s="59" t="s">
        <v>81</v>
      </c>
      <c r="C418" s="59">
        <f>C417</f>
        <v>0</v>
      </c>
      <c r="D418" s="59">
        <f t="shared" ref="D418:N418" si="244">D417</f>
        <v>0</v>
      </c>
      <c r="E418" s="59">
        <f t="shared" si="244"/>
        <v>0</v>
      </c>
      <c r="F418" s="59">
        <f t="shared" si="244"/>
        <v>0</v>
      </c>
      <c r="G418" s="59">
        <f t="shared" si="244"/>
        <v>0</v>
      </c>
      <c r="H418" s="59">
        <f t="shared" si="244"/>
        <v>0</v>
      </c>
      <c r="I418" s="59">
        <f t="shared" si="244"/>
        <v>0</v>
      </c>
      <c r="J418" s="59">
        <f t="shared" si="244"/>
        <v>0</v>
      </c>
      <c r="K418" s="59">
        <f t="shared" si="244"/>
        <v>0</v>
      </c>
      <c r="L418" s="59">
        <f t="shared" si="244"/>
        <v>0</v>
      </c>
      <c r="M418" s="59">
        <f t="shared" si="244"/>
        <v>0</v>
      </c>
      <c r="N418" s="59">
        <f t="shared" si="244"/>
        <v>0</v>
      </c>
      <c r="O418" s="60" t="s">
        <v>115</v>
      </c>
      <c r="P418" s="61">
        <v>0</v>
      </c>
    </row>
    <row r="421" spans="2:16" x14ac:dyDescent="0.25">
      <c r="B421" s="177" t="s">
        <v>162</v>
      </c>
      <c r="C421" s="36"/>
      <c r="D421" s="36"/>
      <c r="E421" s="36"/>
      <c r="F421" s="36"/>
      <c r="G421" s="36"/>
      <c r="H421" s="36"/>
      <c r="I421" s="36"/>
      <c r="J421" s="36"/>
      <c r="K421" s="36"/>
      <c r="L421" s="36"/>
      <c r="M421" s="36"/>
      <c r="N421" s="36"/>
      <c r="O421" s="36"/>
      <c r="P421" s="36"/>
    </row>
    <row r="422" spans="2:16" x14ac:dyDescent="0.25">
      <c r="B422" s="213"/>
      <c r="C422" s="215" t="s">
        <v>50</v>
      </c>
      <c r="D422" s="215" t="s">
        <v>51</v>
      </c>
      <c r="E422" s="215" t="s">
        <v>52</v>
      </c>
      <c r="F422" s="215" t="s">
        <v>53</v>
      </c>
      <c r="G422" s="215" t="s">
        <v>54</v>
      </c>
      <c r="H422" s="215" t="s">
        <v>55</v>
      </c>
      <c r="I422" s="215" t="s">
        <v>56</v>
      </c>
      <c r="J422" s="215" t="s">
        <v>57</v>
      </c>
      <c r="K422" s="215" t="s">
        <v>58</v>
      </c>
      <c r="L422" s="215" t="s">
        <v>59</v>
      </c>
      <c r="M422" s="215" t="s">
        <v>60</v>
      </c>
      <c r="N422" s="215" t="s">
        <v>61</v>
      </c>
      <c r="O422" s="220" t="s">
        <v>62</v>
      </c>
      <c r="P422" s="221"/>
    </row>
    <row r="423" spans="2:16" x14ac:dyDescent="0.25">
      <c r="B423" s="214"/>
      <c r="C423" s="216"/>
      <c r="D423" s="216"/>
      <c r="E423" s="216"/>
      <c r="F423" s="216"/>
      <c r="G423" s="216"/>
      <c r="H423" s="216"/>
      <c r="I423" s="216"/>
      <c r="J423" s="216"/>
      <c r="K423" s="216"/>
      <c r="L423" s="216"/>
      <c r="M423" s="216"/>
      <c r="N423" s="216"/>
      <c r="O423" s="58" t="s">
        <v>64</v>
      </c>
      <c r="P423" s="58" t="s">
        <v>65</v>
      </c>
    </row>
    <row r="424" spans="2:16" x14ac:dyDescent="0.25">
      <c r="B424" s="59" t="s">
        <v>68</v>
      </c>
      <c r="C424" s="59">
        <f>C370</f>
        <v>2475.4333333333343</v>
      </c>
      <c r="D424" s="59">
        <f t="shared" ref="D424:N424" si="245">D370</f>
        <v>2475.4333333333343</v>
      </c>
      <c r="E424" s="59">
        <f t="shared" si="245"/>
        <v>2475.4333333333343</v>
      </c>
      <c r="F424" s="59">
        <f t="shared" si="245"/>
        <v>2475.4333333333343</v>
      </c>
      <c r="G424" s="59">
        <f t="shared" si="245"/>
        <v>2475.4333333333343</v>
      </c>
      <c r="H424" s="59">
        <f t="shared" si="245"/>
        <v>2475.4333333333343</v>
      </c>
      <c r="I424" s="59">
        <f t="shared" si="245"/>
        <v>2475.4333333333343</v>
      </c>
      <c r="J424" s="59">
        <f t="shared" si="245"/>
        <v>2475.4333333333343</v>
      </c>
      <c r="K424" s="59">
        <f t="shared" si="245"/>
        <v>2475.4333333333343</v>
      </c>
      <c r="L424" s="59">
        <f t="shared" si="245"/>
        <v>2475.4333333333343</v>
      </c>
      <c r="M424" s="59">
        <f t="shared" si="245"/>
        <v>2475.4333333333343</v>
      </c>
      <c r="N424" s="59">
        <f t="shared" si="245"/>
        <v>2475.4333333333343</v>
      </c>
      <c r="O424" s="34"/>
      <c r="P424" s="34"/>
    </row>
    <row r="425" spans="2:16" x14ac:dyDescent="0.25">
      <c r="B425" s="34" t="s">
        <v>79</v>
      </c>
      <c r="C425" s="34">
        <f>C379</f>
        <v>841.64733333333356</v>
      </c>
      <c r="D425" s="34">
        <f t="shared" ref="D425:N425" si="246">D379</f>
        <v>841.64733333333356</v>
      </c>
      <c r="E425" s="34">
        <f t="shared" si="246"/>
        <v>841.64733333333356</v>
      </c>
      <c r="F425" s="34">
        <f t="shared" si="246"/>
        <v>841.64733333333356</v>
      </c>
      <c r="G425" s="34">
        <f t="shared" si="246"/>
        <v>841.64733333333356</v>
      </c>
      <c r="H425" s="34">
        <f t="shared" si="246"/>
        <v>841.64733333333356</v>
      </c>
      <c r="I425" s="34">
        <f t="shared" si="246"/>
        <v>841.64733333333356</v>
      </c>
      <c r="J425" s="34">
        <f t="shared" si="246"/>
        <v>841.64733333333356</v>
      </c>
      <c r="K425" s="34">
        <f t="shared" si="246"/>
        <v>841.64733333333356</v>
      </c>
      <c r="L425" s="34">
        <f t="shared" si="246"/>
        <v>841.64733333333356</v>
      </c>
      <c r="M425" s="34">
        <f t="shared" si="246"/>
        <v>841.64733333333356</v>
      </c>
      <c r="N425" s="34">
        <f t="shared" si="246"/>
        <v>841.64733333333356</v>
      </c>
      <c r="O425" s="34"/>
      <c r="P425" s="34"/>
    </row>
    <row r="426" spans="2:16" x14ac:dyDescent="0.25">
      <c r="B426" s="34" t="s">
        <v>86</v>
      </c>
      <c r="C426" s="34">
        <f>C388</f>
        <v>1420</v>
      </c>
      <c r="D426" s="34">
        <f t="shared" ref="D426:N426" si="247">D388</f>
        <v>1420</v>
      </c>
      <c r="E426" s="34">
        <f t="shared" si="247"/>
        <v>1420</v>
      </c>
      <c r="F426" s="34">
        <f t="shared" si="247"/>
        <v>1420</v>
      </c>
      <c r="G426" s="34">
        <f t="shared" si="247"/>
        <v>1420</v>
      </c>
      <c r="H426" s="34">
        <f t="shared" si="247"/>
        <v>1420</v>
      </c>
      <c r="I426" s="34">
        <f t="shared" si="247"/>
        <v>1420</v>
      </c>
      <c r="J426" s="34">
        <f t="shared" si="247"/>
        <v>1420</v>
      </c>
      <c r="K426" s="34">
        <f t="shared" si="247"/>
        <v>1420</v>
      </c>
      <c r="L426" s="34">
        <f t="shared" si="247"/>
        <v>1420</v>
      </c>
      <c r="M426" s="34">
        <f t="shared" si="247"/>
        <v>1420</v>
      </c>
      <c r="N426" s="34">
        <f t="shared" si="247"/>
        <v>1420</v>
      </c>
      <c r="O426" s="34"/>
      <c r="P426" s="34"/>
    </row>
    <row r="427" spans="2:16" x14ac:dyDescent="0.25">
      <c r="B427" s="59" t="s">
        <v>113</v>
      </c>
      <c r="C427" s="59">
        <f>C416</f>
        <v>0</v>
      </c>
      <c r="D427" s="59">
        <f t="shared" ref="D427:G427" si="248">D416</f>
        <v>0</v>
      </c>
      <c r="E427" s="59">
        <f t="shared" si="248"/>
        <v>0</v>
      </c>
      <c r="F427" s="59">
        <f t="shared" si="248"/>
        <v>0</v>
      </c>
      <c r="G427" s="59">
        <f t="shared" si="248"/>
        <v>0</v>
      </c>
      <c r="H427" s="59">
        <f>H416</f>
        <v>0</v>
      </c>
      <c r="I427" s="59">
        <f t="shared" ref="I427:N427" si="249">I416</f>
        <v>0</v>
      </c>
      <c r="J427" s="59">
        <f t="shared" si="249"/>
        <v>0</v>
      </c>
      <c r="K427" s="59">
        <f t="shared" si="249"/>
        <v>0</v>
      </c>
      <c r="L427" s="59">
        <f t="shared" si="249"/>
        <v>0</v>
      </c>
      <c r="M427" s="59">
        <f t="shared" si="249"/>
        <v>0</v>
      </c>
      <c r="N427" s="59">
        <f t="shared" si="249"/>
        <v>0</v>
      </c>
      <c r="O427" s="34"/>
      <c r="P427" s="34"/>
    </row>
    <row r="428" spans="2:16" x14ac:dyDescent="0.25">
      <c r="B428" s="44" t="s">
        <v>117</v>
      </c>
      <c r="C428" s="42">
        <f>C425+C426+C427</f>
        <v>2261.6473333333333</v>
      </c>
      <c r="D428" s="42">
        <f t="shared" ref="D428:N428" si="250">D425+D426+D427</f>
        <v>2261.6473333333333</v>
      </c>
      <c r="E428" s="42">
        <f t="shared" si="250"/>
        <v>2261.6473333333333</v>
      </c>
      <c r="F428" s="42">
        <f t="shared" si="250"/>
        <v>2261.6473333333333</v>
      </c>
      <c r="G428" s="42">
        <f t="shared" si="250"/>
        <v>2261.6473333333333</v>
      </c>
      <c r="H428" s="42">
        <f t="shared" si="250"/>
        <v>2261.6473333333333</v>
      </c>
      <c r="I428" s="42">
        <f t="shared" si="250"/>
        <v>2261.6473333333333</v>
      </c>
      <c r="J428" s="42">
        <f t="shared" si="250"/>
        <v>2261.6473333333333</v>
      </c>
      <c r="K428" s="42">
        <f t="shared" si="250"/>
        <v>2261.6473333333333</v>
      </c>
      <c r="L428" s="42">
        <f t="shared" si="250"/>
        <v>2261.6473333333333</v>
      </c>
      <c r="M428" s="42">
        <f t="shared" si="250"/>
        <v>2261.6473333333333</v>
      </c>
      <c r="N428" s="42">
        <f t="shared" si="250"/>
        <v>2261.6473333333333</v>
      </c>
      <c r="O428" s="34"/>
      <c r="P428" s="34"/>
    </row>
    <row r="429" spans="2:16" x14ac:dyDescent="0.25">
      <c r="B429" s="45" t="s">
        <v>118</v>
      </c>
      <c r="C429" s="43">
        <f>C424-C428</f>
        <v>213.78600000000097</v>
      </c>
      <c r="D429" s="43">
        <f t="shared" ref="D429:N429" si="251">D424-D428</f>
        <v>213.78600000000097</v>
      </c>
      <c r="E429" s="43">
        <f t="shared" si="251"/>
        <v>213.78600000000097</v>
      </c>
      <c r="F429" s="43">
        <f t="shared" si="251"/>
        <v>213.78600000000097</v>
      </c>
      <c r="G429" s="43">
        <f t="shared" si="251"/>
        <v>213.78600000000097</v>
      </c>
      <c r="H429" s="43">
        <f t="shared" si="251"/>
        <v>213.78600000000097</v>
      </c>
      <c r="I429" s="43">
        <f t="shared" si="251"/>
        <v>213.78600000000097</v>
      </c>
      <c r="J429" s="43">
        <f t="shared" si="251"/>
        <v>213.78600000000097</v>
      </c>
      <c r="K429" s="43">
        <f t="shared" si="251"/>
        <v>213.78600000000097</v>
      </c>
      <c r="L429" s="43">
        <f t="shared" si="251"/>
        <v>213.78600000000097</v>
      </c>
      <c r="M429" s="43">
        <f t="shared" si="251"/>
        <v>213.78600000000097</v>
      </c>
      <c r="N429" s="43">
        <f t="shared" si="251"/>
        <v>213.78600000000097</v>
      </c>
      <c r="O429" s="34"/>
      <c r="P429" s="34"/>
    </row>
    <row r="430" spans="2:16" x14ac:dyDescent="0.25">
      <c r="B430" s="59" t="s">
        <v>81</v>
      </c>
      <c r="C430" s="59" t="str">
        <f>P341</f>
        <v>Montant</v>
      </c>
      <c r="D430" s="59">
        <f>C429</f>
        <v>213.78600000000097</v>
      </c>
      <c r="E430" s="59">
        <f t="shared" ref="E430" si="252">D429</f>
        <v>213.78600000000097</v>
      </c>
      <c r="F430" s="59">
        <f t="shared" ref="F430" si="253">E429</f>
        <v>213.78600000000097</v>
      </c>
      <c r="G430" s="59">
        <f t="shared" ref="G430" si="254">F429</f>
        <v>213.78600000000097</v>
      </c>
      <c r="H430" s="59">
        <f t="shared" ref="H430" si="255">G429</f>
        <v>213.78600000000097</v>
      </c>
      <c r="I430" s="59">
        <f t="shared" ref="I430" si="256">H429</f>
        <v>213.78600000000097</v>
      </c>
      <c r="J430" s="59">
        <f t="shared" ref="J430" si="257">I429</f>
        <v>213.78600000000097</v>
      </c>
      <c r="K430" s="59">
        <f t="shared" ref="K430" si="258">J429</f>
        <v>213.78600000000097</v>
      </c>
      <c r="L430" s="59">
        <f t="shared" ref="L430" si="259">K429</f>
        <v>213.78600000000097</v>
      </c>
      <c r="M430" s="59">
        <f t="shared" ref="M430" si="260">L429</f>
        <v>213.78600000000097</v>
      </c>
      <c r="N430" s="59">
        <f t="shared" ref="N430" si="261">M429</f>
        <v>213.78600000000097</v>
      </c>
      <c r="O430" s="60" t="s">
        <v>119</v>
      </c>
      <c r="P430" s="61">
        <f>N429</f>
        <v>213.78600000000097</v>
      </c>
    </row>
    <row r="433" spans="2:16" x14ac:dyDescent="0.25">
      <c r="B433" s="177" t="s">
        <v>163</v>
      </c>
      <c r="C433" s="36"/>
      <c r="D433" s="36"/>
      <c r="E433" s="36"/>
      <c r="F433" s="36"/>
      <c r="G433" s="36"/>
      <c r="H433" s="36"/>
      <c r="I433" s="36"/>
      <c r="J433" s="36"/>
      <c r="K433" s="36"/>
      <c r="L433" s="36"/>
      <c r="M433" s="36"/>
      <c r="N433" s="36"/>
      <c r="O433" s="36"/>
      <c r="P433" s="36"/>
    </row>
    <row r="434" spans="2:16" x14ac:dyDescent="0.25">
      <c r="B434" s="213"/>
      <c r="C434" s="215" t="s">
        <v>50</v>
      </c>
      <c r="D434" s="215" t="s">
        <v>51</v>
      </c>
      <c r="E434" s="215" t="s">
        <v>52</v>
      </c>
      <c r="F434" s="215" t="s">
        <v>53</v>
      </c>
      <c r="G434" s="215" t="s">
        <v>54</v>
      </c>
      <c r="H434" s="215" t="s">
        <v>55</v>
      </c>
      <c r="I434" s="215" t="s">
        <v>56</v>
      </c>
      <c r="J434" s="215" t="s">
        <v>57</v>
      </c>
      <c r="K434" s="215" t="s">
        <v>58</v>
      </c>
      <c r="L434" s="215" t="s">
        <v>59</v>
      </c>
      <c r="M434" s="215" t="s">
        <v>60</v>
      </c>
      <c r="N434" s="215" t="s">
        <v>61</v>
      </c>
      <c r="O434" s="220" t="s">
        <v>62</v>
      </c>
      <c r="P434" s="221"/>
    </row>
    <row r="435" spans="2:16" x14ac:dyDescent="0.25">
      <c r="B435" s="214"/>
      <c r="C435" s="216"/>
      <c r="D435" s="216"/>
      <c r="E435" s="216"/>
      <c r="F435" s="216"/>
      <c r="G435" s="216"/>
      <c r="H435" s="216"/>
      <c r="I435" s="216"/>
      <c r="J435" s="216"/>
      <c r="K435" s="216"/>
      <c r="L435" s="216"/>
      <c r="M435" s="216"/>
      <c r="N435" s="216"/>
      <c r="O435" s="58" t="s">
        <v>64</v>
      </c>
      <c r="P435" s="58" t="s">
        <v>65</v>
      </c>
    </row>
    <row r="436" spans="2:16" x14ac:dyDescent="0.25">
      <c r="B436" s="35" t="s">
        <v>121</v>
      </c>
      <c r="C436" s="35">
        <f>C372</f>
        <v>0</v>
      </c>
      <c r="D436" s="35">
        <f t="shared" ref="D436:N436" si="262">D372</f>
        <v>14852.600000000004</v>
      </c>
      <c r="E436" s="35">
        <f t="shared" si="262"/>
        <v>14852.600000000004</v>
      </c>
      <c r="F436" s="35">
        <f t="shared" si="262"/>
        <v>14852.600000000004</v>
      </c>
      <c r="G436" s="35">
        <f t="shared" si="262"/>
        <v>14852.600000000004</v>
      </c>
      <c r="H436" s="35">
        <f t="shared" si="262"/>
        <v>14852.600000000004</v>
      </c>
      <c r="I436" s="35">
        <f t="shared" si="262"/>
        <v>14852.600000000004</v>
      </c>
      <c r="J436" s="43">
        <f t="shared" si="262"/>
        <v>14852.600000000004</v>
      </c>
      <c r="K436" s="35">
        <f t="shared" si="262"/>
        <v>14852.600000000004</v>
      </c>
      <c r="L436" s="35">
        <f t="shared" si="262"/>
        <v>14852.600000000004</v>
      </c>
      <c r="M436" s="35">
        <f t="shared" si="262"/>
        <v>14852.600000000004</v>
      </c>
      <c r="N436" s="35">
        <f t="shared" si="262"/>
        <v>14852.600000000004</v>
      </c>
      <c r="O436" s="34"/>
      <c r="P436" s="34"/>
    </row>
    <row r="437" spans="2:16" x14ac:dyDescent="0.25">
      <c r="B437" s="34" t="s">
        <v>122</v>
      </c>
      <c r="C437" s="34"/>
      <c r="D437" s="34"/>
      <c r="E437" s="34"/>
      <c r="F437" s="34"/>
      <c r="G437" s="34"/>
      <c r="H437" s="34"/>
      <c r="I437" s="34"/>
      <c r="J437" s="34"/>
      <c r="K437" s="34"/>
      <c r="L437" s="34"/>
      <c r="M437" s="34"/>
      <c r="N437" s="34"/>
      <c r="O437" s="34"/>
      <c r="P437" s="34"/>
    </row>
    <row r="438" spans="2:16" x14ac:dyDescent="0.25">
      <c r="B438" s="59" t="s">
        <v>123</v>
      </c>
      <c r="C438" s="59">
        <f>C437+C436</f>
        <v>0</v>
      </c>
      <c r="D438" s="59">
        <f t="shared" ref="D438:N438" si="263">D437+D436</f>
        <v>14852.600000000004</v>
      </c>
      <c r="E438" s="59">
        <f t="shared" si="263"/>
        <v>14852.600000000004</v>
      </c>
      <c r="F438" s="59">
        <f t="shared" si="263"/>
        <v>14852.600000000004</v>
      </c>
      <c r="G438" s="59">
        <f t="shared" si="263"/>
        <v>14852.600000000004</v>
      </c>
      <c r="H438" s="59">
        <f t="shared" si="263"/>
        <v>14852.600000000004</v>
      </c>
      <c r="I438" s="59">
        <f t="shared" si="263"/>
        <v>14852.600000000004</v>
      </c>
      <c r="J438" s="59">
        <f t="shared" si="263"/>
        <v>14852.600000000004</v>
      </c>
      <c r="K438" s="59">
        <f t="shared" si="263"/>
        <v>14852.600000000004</v>
      </c>
      <c r="L438" s="59">
        <f t="shared" si="263"/>
        <v>14852.600000000004</v>
      </c>
      <c r="M438" s="59">
        <f t="shared" si="263"/>
        <v>14852.600000000004</v>
      </c>
      <c r="N438" s="59">
        <f t="shared" si="263"/>
        <v>14852.600000000004</v>
      </c>
      <c r="O438" s="34"/>
      <c r="P438" s="34"/>
    </row>
    <row r="439" spans="2:16" x14ac:dyDescent="0.25">
      <c r="B439" s="39" t="s">
        <v>124</v>
      </c>
      <c r="C439" s="41">
        <f>C381</f>
        <v>5049.8840000000009</v>
      </c>
      <c r="D439" s="41">
        <f t="shared" ref="D439:N439" si="264">D381</f>
        <v>5049.8840000000009</v>
      </c>
      <c r="E439" s="41">
        <f t="shared" si="264"/>
        <v>5049.8840000000009</v>
      </c>
      <c r="F439" s="41">
        <f t="shared" si="264"/>
        <v>5049.8840000000009</v>
      </c>
      <c r="G439" s="41">
        <f t="shared" si="264"/>
        <v>5049.8840000000009</v>
      </c>
      <c r="H439" s="41">
        <f t="shared" si="264"/>
        <v>5049.8840000000009</v>
      </c>
      <c r="I439" s="41">
        <f t="shared" si="264"/>
        <v>5049.8840000000009</v>
      </c>
      <c r="J439" s="41">
        <f t="shared" si="264"/>
        <v>5049.8840000000009</v>
      </c>
      <c r="K439" s="41">
        <f t="shared" si="264"/>
        <v>5049.8840000000009</v>
      </c>
      <c r="L439" s="41">
        <f t="shared" si="264"/>
        <v>5049.8840000000009</v>
      </c>
      <c r="M439" s="41">
        <f t="shared" si="264"/>
        <v>5049.8840000000009</v>
      </c>
      <c r="N439" s="41">
        <f t="shared" si="264"/>
        <v>5049.8840000000009</v>
      </c>
      <c r="O439" s="34"/>
      <c r="P439" s="34"/>
    </row>
    <row r="440" spans="2:16" x14ac:dyDescent="0.25">
      <c r="B440" s="39" t="s">
        <v>125</v>
      </c>
      <c r="C440" s="41"/>
      <c r="D440" s="41"/>
      <c r="E440" s="41"/>
      <c r="F440" s="41"/>
      <c r="G440" s="41"/>
      <c r="H440" s="41"/>
      <c r="I440" s="41"/>
      <c r="J440" s="41"/>
      <c r="K440" s="41"/>
      <c r="L440" s="41"/>
      <c r="M440" s="41"/>
      <c r="N440" s="41"/>
      <c r="O440" s="34"/>
      <c r="P440" s="34"/>
    </row>
    <row r="441" spans="2:16" x14ac:dyDescent="0.25">
      <c r="B441" s="39" t="s">
        <v>126</v>
      </c>
      <c r="C441" s="41">
        <f>C397</f>
        <v>25625</v>
      </c>
      <c r="D441" s="41">
        <f t="shared" ref="D441:N441" si="265">D397</f>
        <v>25625</v>
      </c>
      <c r="E441" s="41">
        <f t="shared" si="265"/>
        <v>25625</v>
      </c>
      <c r="F441" s="41">
        <f t="shared" si="265"/>
        <v>25625</v>
      </c>
      <c r="G441" s="41">
        <f t="shared" si="265"/>
        <v>25625</v>
      </c>
      <c r="H441" s="41">
        <f t="shared" si="265"/>
        <v>25625</v>
      </c>
      <c r="I441" s="41">
        <f t="shared" si="265"/>
        <v>25625</v>
      </c>
      <c r="J441" s="41">
        <f t="shared" si="265"/>
        <v>25625</v>
      </c>
      <c r="K441" s="41">
        <f t="shared" si="265"/>
        <v>25625</v>
      </c>
      <c r="L441" s="41">
        <f t="shared" si="265"/>
        <v>25625</v>
      </c>
      <c r="M441" s="41">
        <f t="shared" si="265"/>
        <v>25625</v>
      </c>
      <c r="N441" s="41">
        <f t="shared" si="265"/>
        <v>25625</v>
      </c>
      <c r="O441" s="34"/>
      <c r="P441" s="34"/>
    </row>
    <row r="442" spans="2:16" x14ac:dyDescent="0.25">
      <c r="B442" s="39" t="s">
        <v>21</v>
      </c>
      <c r="C442" s="41" t="str">
        <f>C399</f>
        <v>Montant</v>
      </c>
      <c r="D442" s="41">
        <f t="shared" ref="D442:N442" si="266">D399</f>
        <v>10250</v>
      </c>
      <c r="E442" s="41">
        <f t="shared" si="266"/>
        <v>10250</v>
      </c>
      <c r="F442" s="41">
        <f t="shared" si="266"/>
        <v>10250</v>
      </c>
      <c r="G442" s="41">
        <f t="shared" si="266"/>
        <v>10250</v>
      </c>
      <c r="H442" s="41">
        <f t="shared" si="266"/>
        <v>10250</v>
      </c>
      <c r="I442" s="41">
        <f t="shared" si="266"/>
        <v>10250</v>
      </c>
      <c r="J442" s="41">
        <f t="shared" si="266"/>
        <v>10250</v>
      </c>
      <c r="K442" s="41">
        <f t="shared" si="266"/>
        <v>10250</v>
      </c>
      <c r="L442" s="41">
        <f t="shared" si="266"/>
        <v>10250</v>
      </c>
      <c r="M442" s="41">
        <f t="shared" si="266"/>
        <v>10250</v>
      </c>
      <c r="N442" s="41">
        <f t="shared" si="266"/>
        <v>10250</v>
      </c>
      <c r="O442" s="34"/>
      <c r="P442" s="34"/>
    </row>
    <row r="443" spans="2:16" x14ac:dyDescent="0.25">
      <c r="B443" s="39" t="s">
        <v>102</v>
      </c>
      <c r="C443" s="41">
        <f t="shared" ref="C443:N443" si="267">C406</f>
        <v>0</v>
      </c>
      <c r="D443" s="41">
        <f t="shared" si="267"/>
        <v>0</v>
      </c>
      <c r="E443" s="41">
        <f t="shared" si="267"/>
        <v>0</v>
      </c>
      <c r="F443" s="41">
        <f t="shared" si="267"/>
        <v>0</v>
      </c>
      <c r="G443" s="41">
        <f t="shared" si="267"/>
        <v>0</v>
      </c>
      <c r="H443" s="41">
        <f t="shared" si="267"/>
        <v>0</v>
      </c>
      <c r="I443" s="41">
        <f t="shared" si="267"/>
        <v>0</v>
      </c>
      <c r="J443" s="41">
        <f t="shared" si="267"/>
        <v>0</v>
      </c>
      <c r="K443" s="41">
        <f t="shared" si="267"/>
        <v>0</v>
      </c>
      <c r="L443" s="41">
        <f t="shared" si="267"/>
        <v>8200</v>
      </c>
      <c r="M443" s="41">
        <f t="shared" si="267"/>
        <v>0</v>
      </c>
      <c r="N443" s="41">
        <f t="shared" si="267"/>
        <v>0</v>
      </c>
      <c r="O443" s="34"/>
      <c r="P443" s="34"/>
    </row>
    <row r="444" spans="2:16" x14ac:dyDescent="0.25">
      <c r="B444" s="39" t="s">
        <v>127</v>
      </c>
      <c r="C444" s="41">
        <f>C390</f>
        <v>8520</v>
      </c>
      <c r="D444" s="41">
        <f t="shared" ref="D444:N444" si="268">D390</f>
        <v>8520</v>
      </c>
      <c r="E444" s="41">
        <f t="shared" si="268"/>
        <v>8520</v>
      </c>
      <c r="F444" s="41">
        <f t="shared" si="268"/>
        <v>8520</v>
      </c>
      <c r="G444" s="41">
        <f t="shared" si="268"/>
        <v>8520</v>
      </c>
      <c r="H444" s="41">
        <f t="shared" si="268"/>
        <v>8520</v>
      </c>
      <c r="I444" s="41">
        <f t="shared" si="268"/>
        <v>8520</v>
      </c>
      <c r="J444" s="41">
        <f t="shared" si="268"/>
        <v>8520</v>
      </c>
      <c r="K444" s="41">
        <f t="shared" si="268"/>
        <v>8520</v>
      </c>
      <c r="L444" s="41">
        <f t="shared" si="268"/>
        <v>8520</v>
      </c>
      <c r="M444" s="41">
        <f t="shared" si="268"/>
        <v>8520</v>
      </c>
      <c r="N444" s="41">
        <f t="shared" si="268"/>
        <v>8520</v>
      </c>
      <c r="O444" s="34"/>
      <c r="P444" s="34"/>
    </row>
    <row r="445" spans="2:16" x14ac:dyDescent="0.25">
      <c r="B445" s="39" t="s">
        <v>128</v>
      </c>
      <c r="C445" s="41">
        <f t="shared" ref="C445:N445" si="269">C409</f>
        <v>2675</v>
      </c>
      <c r="D445" s="41">
        <f t="shared" si="269"/>
        <v>2675</v>
      </c>
      <c r="E445" s="41">
        <f t="shared" si="269"/>
        <v>2675</v>
      </c>
      <c r="F445" s="41">
        <f t="shared" si="269"/>
        <v>2675</v>
      </c>
      <c r="G445" s="41">
        <f t="shared" si="269"/>
        <v>2675</v>
      </c>
      <c r="H445" s="41">
        <f t="shared" si="269"/>
        <v>2675</v>
      </c>
      <c r="I445" s="41">
        <f t="shared" si="269"/>
        <v>2675</v>
      </c>
      <c r="J445" s="41">
        <f t="shared" si="269"/>
        <v>2675</v>
      </c>
      <c r="K445" s="41">
        <f t="shared" si="269"/>
        <v>2675</v>
      </c>
      <c r="L445" s="41">
        <f t="shared" si="269"/>
        <v>2675</v>
      </c>
      <c r="M445" s="41">
        <f t="shared" si="269"/>
        <v>2675</v>
      </c>
      <c r="N445" s="41">
        <f t="shared" si="269"/>
        <v>2675</v>
      </c>
      <c r="O445" s="34"/>
      <c r="P445" s="34"/>
    </row>
    <row r="446" spans="2:16" x14ac:dyDescent="0.25">
      <c r="B446" s="39" t="s">
        <v>129</v>
      </c>
      <c r="C446" s="41">
        <f>C417</f>
        <v>0</v>
      </c>
      <c r="D446" s="41">
        <f t="shared" ref="D446:G446" si="270">D417</f>
        <v>0</v>
      </c>
      <c r="E446" s="41">
        <f t="shared" si="270"/>
        <v>0</v>
      </c>
      <c r="F446" s="41">
        <f t="shared" si="270"/>
        <v>0</v>
      </c>
      <c r="G446" s="41">
        <f t="shared" si="270"/>
        <v>0</v>
      </c>
      <c r="H446" s="41">
        <f>H417</f>
        <v>0</v>
      </c>
      <c r="I446" s="41">
        <f t="shared" ref="I446:N446" si="271">I417</f>
        <v>0</v>
      </c>
      <c r="J446" s="41">
        <f t="shared" si="271"/>
        <v>0</v>
      </c>
      <c r="K446" s="41">
        <f t="shared" si="271"/>
        <v>0</v>
      </c>
      <c r="L446" s="41">
        <f t="shared" si="271"/>
        <v>0</v>
      </c>
      <c r="M446" s="41">
        <f t="shared" si="271"/>
        <v>0</v>
      </c>
      <c r="N446" s="41">
        <f t="shared" si="271"/>
        <v>0</v>
      </c>
      <c r="O446" s="34"/>
      <c r="P446" s="34"/>
    </row>
    <row r="447" spans="2:16" x14ac:dyDescent="0.25">
      <c r="B447" s="39" t="s">
        <v>130</v>
      </c>
      <c r="C447" s="41" t="str">
        <f t="shared" ref="C447:N447" si="272">C430</f>
        <v>Montant</v>
      </c>
      <c r="D447" s="41">
        <f t="shared" si="272"/>
        <v>213.78600000000097</v>
      </c>
      <c r="E447" s="41">
        <f t="shared" si="272"/>
        <v>213.78600000000097</v>
      </c>
      <c r="F447" s="41">
        <f t="shared" si="272"/>
        <v>213.78600000000097</v>
      </c>
      <c r="G447" s="41">
        <f t="shared" si="272"/>
        <v>213.78600000000097</v>
      </c>
      <c r="H447" s="41">
        <f t="shared" si="272"/>
        <v>213.78600000000097</v>
      </c>
      <c r="I447" s="41">
        <f t="shared" si="272"/>
        <v>213.78600000000097</v>
      </c>
      <c r="J447" s="41">
        <f t="shared" si="272"/>
        <v>213.78600000000097</v>
      </c>
      <c r="K447" s="41">
        <f t="shared" si="272"/>
        <v>213.78600000000097</v>
      </c>
      <c r="L447" s="41">
        <f t="shared" si="272"/>
        <v>213.78600000000097</v>
      </c>
      <c r="M447" s="41">
        <f t="shared" si="272"/>
        <v>213.78600000000097</v>
      </c>
      <c r="N447" s="41">
        <f t="shared" si="272"/>
        <v>213.78600000000097</v>
      </c>
      <c r="O447" s="34"/>
      <c r="P447" s="34"/>
    </row>
    <row r="448" spans="2:16" x14ac:dyDescent="0.25">
      <c r="B448" s="59" t="s">
        <v>131</v>
      </c>
      <c r="C448" s="59">
        <f>SUM(C439:C447)</f>
        <v>41869.884000000005</v>
      </c>
      <c r="D448" s="59">
        <f t="shared" ref="D448:N448" si="273">SUM(D439:D447)</f>
        <v>52333.670000000006</v>
      </c>
      <c r="E448" s="59">
        <f t="shared" si="273"/>
        <v>52333.670000000006</v>
      </c>
      <c r="F448" s="59">
        <f t="shared" si="273"/>
        <v>52333.670000000006</v>
      </c>
      <c r="G448" s="59">
        <f t="shared" si="273"/>
        <v>52333.670000000006</v>
      </c>
      <c r="H448" s="59">
        <f t="shared" si="273"/>
        <v>52333.670000000006</v>
      </c>
      <c r="I448" s="59">
        <f t="shared" si="273"/>
        <v>52333.670000000006</v>
      </c>
      <c r="J448" s="59">
        <f t="shared" si="273"/>
        <v>52333.670000000006</v>
      </c>
      <c r="K448" s="59">
        <f t="shared" si="273"/>
        <v>52333.670000000006</v>
      </c>
      <c r="L448" s="59">
        <f t="shared" si="273"/>
        <v>60533.670000000006</v>
      </c>
      <c r="M448" s="59">
        <f t="shared" si="273"/>
        <v>52333.670000000006</v>
      </c>
      <c r="N448" s="59">
        <f t="shared" si="273"/>
        <v>52333.670000000006</v>
      </c>
      <c r="O448" s="34"/>
      <c r="P448" s="34"/>
    </row>
    <row r="449" spans="2:16" x14ac:dyDescent="0.25">
      <c r="B449" s="59" t="s">
        <v>132</v>
      </c>
      <c r="C449" s="59">
        <f>V312</f>
        <v>0</v>
      </c>
      <c r="D449" s="59">
        <f>C451</f>
        <v>-41869.884000000005</v>
      </c>
      <c r="E449" s="59">
        <f t="shared" ref="E449" si="274">D451</f>
        <v>-79350.953999999998</v>
      </c>
      <c r="F449" s="59">
        <f t="shared" ref="F449" si="275">E451</f>
        <v>-116832.024</v>
      </c>
      <c r="G449" s="59">
        <f t="shared" ref="G449" si="276">F451</f>
        <v>-154313.09400000001</v>
      </c>
      <c r="H449" s="59">
        <f t="shared" ref="H449" si="277">G451</f>
        <v>-191794.16400000002</v>
      </c>
      <c r="I449" s="59">
        <f t="shared" ref="I449" si="278">H451</f>
        <v>-229275.23400000003</v>
      </c>
      <c r="J449" s="59">
        <f t="shared" ref="J449" si="279">I451</f>
        <v>-266756.304</v>
      </c>
      <c r="K449" s="59">
        <f t="shared" ref="K449" si="280">J451</f>
        <v>-304237.37400000001</v>
      </c>
      <c r="L449" s="59">
        <f t="shared" ref="L449" si="281">K451</f>
        <v>-341718.44400000002</v>
      </c>
      <c r="M449" s="59">
        <f t="shared" ref="M449" si="282">L451</f>
        <v>-387399.51400000002</v>
      </c>
      <c r="N449" s="59">
        <f t="shared" ref="N449" si="283">M451</f>
        <v>-424880.58400000003</v>
      </c>
      <c r="O449" s="34"/>
      <c r="P449" s="34"/>
    </row>
    <row r="450" spans="2:16" x14ac:dyDescent="0.25">
      <c r="B450" s="34" t="s">
        <v>133</v>
      </c>
      <c r="C450" s="34">
        <f t="shared" ref="C450:N450" si="284">C438-C448</f>
        <v>-41869.884000000005</v>
      </c>
      <c r="D450" s="34">
        <f t="shared" si="284"/>
        <v>-37481.07</v>
      </c>
      <c r="E450" s="34">
        <f t="shared" si="284"/>
        <v>-37481.07</v>
      </c>
      <c r="F450" s="34">
        <f t="shared" si="284"/>
        <v>-37481.07</v>
      </c>
      <c r="G450" s="34">
        <f t="shared" si="284"/>
        <v>-37481.07</v>
      </c>
      <c r="H450" s="34">
        <f t="shared" si="284"/>
        <v>-37481.07</v>
      </c>
      <c r="I450" s="34">
        <f t="shared" si="284"/>
        <v>-37481.07</v>
      </c>
      <c r="J450" s="34">
        <f t="shared" si="284"/>
        <v>-37481.07</v>
      </c>
      <c r="K450" s="34">
        <f t="shared" si="284"/>
        <v>-37481.07</v>
      </c>
      <c r="L450" s="34">
        <f t="shared" si="284"/>
        <v>-45681.07</v>
      </c>
      <c r="M450" s="34">
        <f t="shared" si="284"/>
        <v>-37481.07</v>
      </c>
      <c r="N450" s="34">
        <f t="shared" si="284"/>
        <v>-37481.07</v>
      </c>
      <c r="O450" s="34"/>
      <c r="P450" s="34"/>
    </row>
    <row r="451" spans="2:16" x14ac:dyDescent="0.25">
      <c r="B451" s="59" t="s">
        <v>134</v>
      </c>
      <c r="C451" s="59">
        <f>C449+C450</f>
        <v>-41869.884000000005</v>
      </c>
      <c r="D451" s="59">
        <f t="shared" ref="D451:N451" si="285">D449+D450</f>
        <v>-79350.953999999998</v>
      </c>
      <c r="E451" s="59">
        <f t="shared" si="285"/>
        <v>-116832.024</v>
      </c>
      <c r="F451" s="59">
        <f t="shared" si="285"/>
        <v>-154313.09400000001</v>
      </c>
      <c r="G451" s="59">
        <f t="shared" si="285"/>
        <v>-191794.16400000002</v>
      </c>
      <c r="H451" s="59">
        <f t="shared" si="285"/>
        <v>-229275.23400000003</v>
      </c>
      <c r="I451" s="59">
        <f t="shared" si="285"/>
        <v>-266756.304</v>
      </c>
      <c r="J451" s="59">
        <f t="shared" si="285"/>
        <v>-304237.37400000001</v>
      </c>
      <c r="K451" s="59">
        <f t="shared" si="285"/>
        <v>-341718.44400000002</v>
      </c>
      <c r="L451" s="59">
        <f t="shared" si="285"/>
        <v>-387399.51400000002</v>
      </c>
      <c r="M451" s="59">
        <f t="shared" si="285"/>
        <v>-424880.58400000003</v>
      </c>
      <c r="N451" s="59">
        <f t="shared" si="285"/>
        <v>-462361.65400000004</v>
      </c>
      <c r="O451" s="60" t="s">
        <v>164</v>
      </c>
      <c r="P451" s="61">
        <f>N451</f>
        <v>-462361.65400000004</v>
      </c>
    </row>
  </sheetData>
  <mergeCells count="529">
    <mergeCell ref="N434:N435"/>
    <mergeCell ref="O434:P434"/>
    <mergeCell ref="S273:T273"/>
    <mergeCell ref="S295:X295"/>
    <mergeCell ref="S367:T367"/>
    <mergeCell ref="S389:X389"/>
    <mergeCell ref="H434:H435"/>
    <mergeCell ref="I434:I435"/>
    <mergeCell ref="J434:J435"/>
    <mergeCell ref="K434:K435"/>
    <mergeCell ref="L434:L435"/>
    <mergeCell ref="M434:M435"/>
    <mergeCell ref="M422:M423"/>
    <mergeCell ref="N422:N423"/>
    <mergeCell ref="O422:P422"/>
    <mergeCell ref="N413:N414"/>
    <mergeCell ref="O413:P413"/>
    <mergeCell ref="H413:H414"/>
    <mergeCell ref="I413:I414"/>
    <mergeCell ref="J413:J414"/>
    <mergeCell ref="K413:K414"/>
    <mergeCell ref="L413:L414"/>
    <mergeCell ref="M413:M414"/>
    <mergeCell ref="M403:M404"/>
    <mergeCell ref="B434:B435"/>
    <mergeCell ref="C434:C435"/>
    <mergeCell ref="D434:D435"/>
    <mergeCell ref="E434:E435"/>
    <mergeCell ref="F434:F435"/>
    <mergeCell ref="G434:G435"/>
    <mergeCell ref="J422:J423"/>
    <mergeCell ref="K422:K423"/>
    <mergeCell ref="L422:L423"/>
    <mergeCell ref="B422:B423"/>
    <mergeCell ref="C422:C423"/>
    <mergeCell ref="D422:D423"/>
    <mergeCell ref="E422:E423"/>
    <mergeCell ref="F422:F423"/>
    <mergeCell ref="G422:G423"/>
    <mergeCell ref="H422:H423"/>
    <mergeCell ref="I422:I423"/>
    <mergeCell ref="B413:B414"/>
    <mergeCell ref="C413:C414"/>
    <mergeCell ref="D413:D414"/>
    <mergeCell ref="E413:E414"/>
    <mergeCell ref="F413:F414"/>
    <mergeCell ref="G413:G414"/>
    <mergeCell ref="J403:J404"/>
    <mergeCell ref="K403:K404"/>
    <mergeCell ref="L403:L404"/>
    <mergeCell ref="N403:N404"/>
    <mergeCell ref="O403:P403"/>
    <mergeCell ref="O385:P385"/>
    <mergeCell ref="B402:P402"/>
    <mergeCell ref="B403:B404"/>
    <mergeCell ref="C403:C404"/>
    <mergeCell ref="D403:D404"/>
    <mergeCell ref="E403:E404"/>
    <mergeCell ref="F403:F404"/>
    <mergeCell ref="G403:G404"/>
    <mergeCell ref="H403:H404"/>
    <mergeCell ref="I403:I404"/>
    <mergeCell ref="I385:I386"/>
    <mergeCell ref="J385:J386"/>
    <mergeCell ref="K385:K386"/>
    <mergeCell ref="L385:L386"/>
    <mergeCell ref="M385:M386"/>
    <mergeCell ref="N385:N386"/>
    <mergeCell ref="B384:P384"/>
    <mergeCell ref="B385:B386"/>
    <mergeCell ref="C385:C386"/>
    <mergeCell ref="D385:D386"/>
    <mergeCell ref="E385:E386"/>
    <mergeCell ref="F385:F386"/>
    <mergeCell ref="G385:G386"/>
    <mergeCell ref="H385:H386"/>
    <mergeCell ref="H376:H377"/>
    <mergeCell ref="I376:I377"/>
    <mergeCell ref="J376:J377"/>
    <mergeCell ref="K376:K377"/>
    <mergeCell ref="L376:L377"/>
    <mergeCell ref="M376:M377"/>
    <mergeCell ref="B376:B377"/>
    <mergeCell ref="C376:C377"/>
    <mergeCell ref="D376:D377"/>
    <mergeCell ref="E376:E377"/>
    <mergeCell ref="F376:F377"/>
    <mergeCell ref="G376:G377"/>
    <mergeCell ref="B375:P375"/>
    <mergeCell ref="E367:E368"/>
    <mergeCell ref="F367:F368"/>
    <mergeCell ref="G367:G368"/>
    <mergeCell ref="H367:H368"/>
    <mergeCell ref="I367:I368"/>
    <mergeCell ref="J367:J368"/>
    <mergeCell ref="N376:N377"/>
    <mergeCell ref="O376:P376"/>
    <mergeCell ref="B364:P364"/>
    <mergeCell ref="B366:P366"/>
    <mergeCell ref="B367:B368"/>
    <mergeCell ref="C367:C368"/>
    <mergeCell ref="D367:D368"/>
    <mergeCell ref="N340:N341"/>
    <mergeCell ref="O340:P340"/>
    <mergeCell ref="H340:H341"/>
    <mergeCell ref="I340:I341"/>
    <mergeCell ref="J340:J341"/>
    <mergeCell ref="K340:K341"/>
    <mergeCell ref="L340:L341"/>
    <mergeCell ref="M340:M341"/>
    <mergeCell ref="B340:B341"/>
    <mergeCell ref="C340:C341"/>
    <mergeCell ref="D340:D341"/>
    <mergeCell ref="E340:E341"/>
    <mergeCell ref="F340:F341"/>
    <mergeCell ref="G340:G341"/>
    <mergeCell ref="K367:K368"/>
    <mergeCell ref="L367:L368"/>
    <mergeCell ref="M367:M368"/>
    <mergeCell ref="N367:N368"/>
    <mergeCell ref="O367:P367"/>
    <mergeCell ref="J328:J329"/>
    <mergeCell ref="K328:K329"/>
    <mergeCell ref="L328:L329"/>
    <mergeCell ref="M328:M329"/>
    <mergeCell ref="N328:N329"/>
    <mergeCell ref="O328:P328"/>
    <mergeCell ref="N319:N320"/>
    <mergeCell ref="O319:P319"/>
    <mergeCell ref="B328:B329"/>
    <mergeCell ref="C328:C329"/>
    <mergeCell ref="D328:D329"/>
    <mergeCell ref="E328:E329"/>
    <mergeCell ref="F328:F329"/>
    <mergeCell ref="G328:G329"/>
    <mergeCell ref="H328:H329"/>
    <mergeCell ref="I328:I329"/>
    <mergeCell ref="H319:H320"/>
    <mergeCell ref="I319:I320"/>
    <mergeCell ref="J319:J320"/>
    <mergeCell ref="K319:K320"/>
    <mergeCell ref="L319:L320"/>
    <mergeCell ref="M319:M320"/>
    <mergeCell ref="B319:B320"/>
    <mergeCell ref="C319:C320"/>
    <mergeCell ref="D319:D320"/>
    <mergeCell ref="E319:E320"/>
    <mergeCell ref="F319:F320"/>
    <mergeCell ref="G319:G320"/>
    <mergeCell ref="J309:J310"/>
    <mergeCell ref="K309:K310"/>
    <mergeCell ref="L309:L310"/>
    <mergeCell ref="M309:M310"/>
    <mergeCell ref="N309:N310"/>
    <mergeCell ref="O309:P309"/>
    <mergeCell ref="O291:P291"/>
    <mergeCell ref="B308:P308"/>
    <mergeCell ref="B309:B310"/>
    <mergeCell ref="C309:C310"/>
    <mergeCell ref="D309:D310"/>
    <mergeCell ref="E309:E310"/>
    <mergeCell ref="F309:F310"/>
    <mergeCell ref="G309:G310"/>
    <mergeCell ref="H309:H310"/>
    <mergeCell ref="I309:I310"/>
    <mergeCell ref="I291:I292"/>
    <mergeCell ref="J291:J292"/>
    <mergeCell ref="K291:K292"/>
    <mergeCell ref="L291:L292"/>
    <mergeCell ref="M291:M292"/>
    <mergeCell ref="N291:N292"/>
    <mergeCell ref="N282:N283"/>
    <mergeCell ref="O282:P282"/>
    <mergeCell ref="B290:P290"/>
    <mergeCell ref="B291:B292"/>
    <mergeCell ref="C291:C292"/>
    <mergeCell ref="D291:D292"/>
    <mergeCell ref="E291:E292"/>
    <mergeCell ref="F291:F292"/>
    <mergeCell ref="G291:G292"/>
    <mergeCell ref="H291:H292"/>
    <mergeCell ref="H282:H283"/>
    <mergeCell ref="I282:I283"/>
    <mergeCell ref="J282:J283"/>
    <mergeCell ref="K282:K283"/>
    <mergeCell ref="L282:L283"/>
    <mergeCell ref="M282:M283"/>
    <mergeCell ref="B282:B283"/>
    <mergeCell ref="C282:C283"/>
    <mergeCell ref="D282:D283"/>
    <mergeCell ref="E282:E283"/>
    <mergeCell ref="F282:F283"/>
    <mergeCell ref="G282:G283"/>
    <mergeCell ref="K273:K274"/>
    <mergeCell ref="L273:L274"/>
    <mergeCell ref="M273:M274"/>
    <mergeCell ref="N273:N274"/>
    <mergeCell ref="O273:P273"/>
    <mergeCell ref="B281:P281"/>
    <mergeCell ref="B272:P272"/>
    <mergeCell ref="B273:B274"/>
    <mergeCell ref="C273:C274"/>
    <mergeCell ref="D273:D274"/>
    <mergeCell ref="E273:E274"/>
    <mergeCell ref="F273:F274"/>
    <mergeCell ref="G273:G274"/>
    <mergeCell ref="H273:H274"/>
    <mergeCell ref="I273:I274"/>
    <mergeCell ref="J273:J274"/>
    <mergeCell ref="K247:K248"/>
    <mergeCell ref="L247:L248"/>
    <mergeCell ref="M247:M248"/>
    <mergeCell ref="N247:N248"/>
    <mergeCell ref="O247:P247"/>
    <mergeCell ref="B270:P270"/>
    <mergeCell ref="O235:P235"/>
    <mergeCell ref="B247:B248"/>
    <mergeCell ref="C247:C248"/>
    <mergeCell ref="D247:D248"/>
    <mergeCell ref="E247:E248"/>
    <mergeCell ref="F247:F248"/>
    <mergeCell ref="G247:G248"/>
    <mergeCell ref="H247:H248"/>
    <mergeCell ref="I247:I248"/>
    <mergeCell ref="J247:J248"/>
    <mergeCell ref="I235:I236"/>
    <mergeCell ref="J235:J236"/>
    <mergeCell ref="K235:K236"/>
    <mergeCell ref="L235:L236"/>
    <mergeCell ref="M235:M236"/>
    <mergeCell ref="N235:N236"/>
    <mergeCell ref="B226:B227"/>
    <mergeCell ref="C226:C227"/>
    <mergeCell ref="D226:D227"/>
    <mergeCell ref="E226:E227"/>
    <mergeCell ref="F226:F227"/>
    <mergeCell ref="M226:M227"/>
    <mergeCell ref="N226:N227"/>
    <mergeCell ref="O226:P226"/>
    <mergeCell ref="B235:B236"/>
    <mergeCell ref="C235:C236"/>
    <mergeCell ref="D235:D236"/>
    <mergeCell ref="E235:E236"/>
    <mergeCell ref="F235:F236"/>
    <mergeCell ref="G235:G236"/>
    <mergeCell ref="H235:H236"/>
    <mergeCell ref="G226:G227"/>
    <mergeCell ref="H226:H227"/>
    <mergeCell ref="I226:I227"/>
    <mergeCell ref="J226:J227"/>
    <mergeCell ref="K226:K227"/>
    <mergeCell ref="L226:L227"/>
    <mergeCell ref="B215:P215"/>
    <mergeCell ref="B216:B217"/>
    <mergeCell ref="C216:C217"/>
    <mergeCell ref="D216:D217"/>
    <mergeCell ref="E216:E217"/>
    <mergeCell ref="F216:F217"/>
    <mergeCell ref="G216:G217"/>
    <mergeCell ref="H216:H217"/>
    <mergeCell ref="I216:I217"/>
    <mergeCell ref="J216:J217"/>
    <mergeCell ref="K216:K217"/>
    <mergeCell ref="L216:L217"/>
    <mergeCell ref="M216:M217"/>
    <mergeCell ref="N216:N217"/>
    <mergeCell ref="O216:P216"/>
    <mergeCell ref="K198:K199"/>
    <mergeCell ref="L198:L199"/>
    <mergeCell ref="M198:M199"/>
    <mergeCell ref="N198:N199"/>
    <mergeCell ref="O198:P198"/>
    <mergeCell ref="S203:X203"/>
    <mergeCell ref="B197:P197"/>
    <mergeCell ref="B198:B199"/>
    <mergeCell ref="C198:C199"/>
    <mergeCell ref="D198:D199"/>
    <mergeCell ref="E198:E199"/>
    <mergeCell ref="F198:F199"/>
    <mergeCell ref="G198:G199"/>
    <mergeCell ref="H198:H199"/>
    <mergeCell ref="I198:I199"/>
    <mergeCell ref="J198:J199"/>
    <mergeCell ref="J189:J190"/>
    <mergeCell ref="K189:K190"/>
    <mergeCell ref="L189:L190"/>
    <mergeCell ref="M189:M190"/>
    <mergeCell ref="N189:N190"/>
    <mergeCell ref="O189:P189"/>
    <mergeCell ref="S180:T180"/>
    <mergeCell ref="B188:P188"/>
    <mergeCell ref="B189:B190"/>
    <mergeCell ref="C189:C190"/>
    <mergeCell ref="D189:D190"/>
    <mergeCell ref="E189:E190"/>
    <mergeCell ref="F189:F190"/>
    <mergeCell ref="G189:G190"/>
    <mergeCell ref="H189:H190"/>
    <mergeCell ref="I189:I190"/>
    <mergeCell ref="J180:J181"/>
    <mergeCell ref="K180:K181"/>
    <mergeCell ref="L180:L181"/>
    <mergeCell ref="M180:M181"/>
    <mergeCell ref="N180:N181"/>
    <mergeCell ref="O180:P180"/>
    <mergeCell ref="B177:P177"/>
    <mergeCell ref="B179:P179"/>
    <mergeCell ref="B180:B181"/>
    <mergeCell ref="C180:C181"/>
    <mergeCell ref="D180:D181"/>
    <mergeCell ref="E180:E181"/>
    <mergeCell ref="F180:F181"/>
    <mergeCell ref="G180:G181"/>
    <mergeCell ref="H180:H181"/>
    <mergeCell ref="I180:I181"/>
    <mergeCell ref="J156:J157"/>
    <mergeCell ref="K156:K157"/>
    <mergeCell ref="L156:L157"/>
    <mergeCell ref="M156:M157"/>
    <mergeCell ref="N156:N157"/>
    <mergeCell ref="O156:P156"/>
    <mergeCell ref="N144:N145"/>
    <mergeCell ref="O144:P144"/>
    <mergeCell ref="B156:B157"/>
    <mergeCell ref="C156:C157"/>
    <mergeCell ref="D156:D157"/>
    <mergeCell ref="E156:E157"/>
    <mergeCell ref="F156:F157"/>
    <mergeCell ref="G156:G157"/>
    <mergeCell ref="H156:H157"/>
    <mergeCell ref="I156:I157"/>
    <mergeCell ref="H144:H145"/>
    <mergeCell ref="I144:I145"/>
    <mergeCell ref="J144:J145"/>
    <mergeCell ref="K144:K145"/>
    <mergeCell ref="L144:L145"/>
    <mergeCell ref="M144:M145"/>
    <mergeCell ref="B144:B145"/>
    <mergeCell ref="C144:C145"/>
    <mergeCell ref="D144:D145"/>
    <mergeCell ref="E144:E145"/>
    <mergeCell ref="F144:F145"/>
    <mergeCell ref="G144:G145"/>
    <mergeCell ref="J135:J136"/>
    <mergeCell ref="K135:K136"/>
    <mergeCell ref="L135:L136"/>
    <mergeCell ref="M135:M136"/>
    <mergeCell ref="N135:N136"/>
    <mergeCell ref="O135:P135"/>
    <mergeCell ref="N125:N126"/>
    <mergeCell ref="O125:P125"/>
    <mergeCell ref="B135:B136"/>
    <mergeCell ref="C135:C136"/>
    <mergeCell ref="D135:D136"/>
    <mergeCell ref="E135:E136"/>
    <mergeCell ref="F135:F136"/>
    <mergeCell ref="G135:G136"/>
    <mergeCell ref="H135:H136"/>
    <mergeCell ref="I135:I136"/>
    <mergeCell ref="H125:H126"/>
    <mergeCell ref="I125:I126"/>
    <mergeCell ref="J125:J126"/>
    <mergeCell ref="K125:K126"/>
    <mergeCell ref="L125:L126"/>
    <mergeCell ref="M125:M126"/>
    <mergeCell ref="S112:T112"/>
    <mergeCell ref="U112:V112"/>
    <mergeCell ref="W112:X112"/>
    <mergeCell ref="B124:P124"/>
    <mergeCell ref="B125:B126"/>
    <mergeCell ref="C125:C126"/>
    <mergeCell ref="D125:D126"/>
    <mergeCell ref="E125:E126"/>
    <mergeCell ref="F125:F126"/>
    <mergeCell ref="G125:G126"/>
    <mergeCell ref="J108:J109"/>
    <mergeCell ref="K108:K109"/>
    <mergeCell ref="L108:L109"/>
    <mergeCell ref="M108:M109"/>
    <mergeCell ref="N108:N109"/>
    <mergeCell ref="O108:P108"/>
    <mergeCell ref="O99:P99"/>
    <mergeCell ref="B107:P107"/>
    <mergeCell ref="B108:B109"/>
    <mergeCell ref="C108:C109"/>
    <mergeCell ref="D108:D109"/>
    <mergeCell ref="E108:E109"/>
    <mergeCell ref="F108:F109"/>
    <mergeCell ref="G108:G109"/>
    <mergeCell ref="H108:H109"/>
    <mergeCell ref="I108:I109"/>
    <mergeCell ref="I99:I100"/>
    <mergeCell ref="J99:J100"/>
    <mergeCell ref="K99:K100"/>
    <mergeCell ref="L99:L100"/>
    <mergeCell ref="M99:M100"/>
    <mergeCell ref="N99:N100"/>
    <mergeCell ref="S90:T90"/>
    <mergeCell ref="B98:P98"/>
    <mergeCell ref="B99:B100"/>
    <mergeCell ref="C99:C100"/>
    <mergeCell ref="D99:D100"/>
    <mergeCell ref="E99:E100"/>
    <mergeCell ref="F99:F100"/>
    <mergeCell ref="G99:G100"/>
    <mergeCell ref="H99:H100"/>
    <mergeCell ref="I90:I91"/>
    <mergeCell ref="J90:J91"/>
    <mergeCell ref="K90:K91"/>
    <mergeCell ref="L90:L91"/>
    <mergeCell ref="M90:M91"/>
    <mergeCell ref="N90:N91"/>
    <mergeCell ref="O68:P68"/>
    <mergeCell ref="B87:P87"/>
    <mergeCell ref="B89:P89"/>
    <mergeCell ref="B90:B91"/>
    <mergeCell ref="C90:C91"/>
    <mergeCell ref="D90:D91"/>
    <mergeCell ref="E90:E91"/>
    <mergeCell ref="F90:F91"/>
    <mergeCell ref="G90:G91"/>
    <mergeCell ref="H90:H91"/>
    <mergeCell ref="I68:I69"/>
    <mergeCell ref="J68:J69"/>
    <mergeCell ref="K68:K69"/>
    <mergeCell ref="L68:L69"/>
    <mergeCell ref="M68:M69"/>
    <mergeCell ref="N68:N69"/>
    <mergeCell ref="O90:P90"/>
    <mergeCell ref="B68:B69"/>
    <mergeCell ref="C68:C69"/>
    <mergeCell ref="D68:D69"/>
    <mergeCell ref="E68:E69"/>
    <mergeCell ref="F68:F69"/>
    <mergeCell ref="G68:G69"/>
    <mergeCell ref="H68:H69"/>
    <mergeCell ref="G56:G57"/>
    <mergeCell ref="H56:H57"/>
    <mergeCell ref="K47:K48"/>
    <mergeCell ref="L47:L48"/>
    <mergeCell ref="M47:M48"/>
    <mergeCell ref="N47:N48"/>
    <mergeCell ref="O47:P47"/>
    <mergeCell ref="B56:B57"/>
    <mergeCell ref="C56:C57"/>
    <mergeCell ref="D56:D57"/>
    <mergeCell ref="E56:E57"/>
    <mergeCell ref="F56:F57"/>
    <mergeCell ref="M56:M57"/>
    <mergeCell ref="N56:N57"/>
    <mergeCell ref="O56:P56"/>
    <mergeCell ref="I56:I57"/>
    <mergeCell ref="J56:J57"/>
    <mergeCell ref="K56:K57"/>
    <mergeCell ref="L56:L57"/>
    <mergeCell ref="B47:B48"/>
    <mergeCell ref="C47:C48"/>
    <mergeCell ref="D47:D48"/>
    <mergeCell ref="E47:E48"/>
    <mergeCell ref="F47:F48"/>
    <mergeCell ref="G47:G48"/>
    <mergeCell ref="H47:H48"/>
    <mergeCell ref="I47:I48"/>
    <mergeCell ref="J47:J48"/>
    <mergeCell ref="S25:X25"/>
    <mergeCell ref="AA27:AB27"/>
    <mergeCell ref="B36:P36"/>
    <mergeCell ref="B37:B38"/>
    <mergeCell ref="C37:C38"/>
    <mergeCell ref="D37:D38"/>
    <mergeCell ref="E37:E38"/>
    <mergeCell ref="F37:F38"/>
    <mergeCell ref="G37:G38"/>
    <mergeCell ref="H37:H38"/>
    <mergeCell ref="O37:P37"/>
    <mergeCell ref="I37:I38"/>
    <mergeCell ref="J37:J38"/>
    <mergeCell ref="K37:K38"/>
    <mergeCell ref="L37:L38"/>
    <mergeCell ref="M37:M38"/>
    <mergeCell ref="N37:N38"/>
    <mergeCell ref="J21:J22"/>
    <mergeCell ref="K21:K22"/>
    <mergeCell ref="L21:L22"/>
    <mergeCell ref="M21:M22"/>
    <mergeCell ref="N21:N22"/>
    <mergeCell ref="O21:P21"/>
    <mergeCell ref="O12:P12"/>
    <mergeCell ref="B20:P20"/>
    <mergeCell ref="B21:B22"/>
    <mergeCell ref="C21:C22"/>
    <mergeCell ref="D21:D22"/>
    <mergeCell ref="E21:E22"/>
    <mergeCell ref="F21:F22"/>
    <mergeCell ref="G21:G22"/>
    <mergeCell ref="H21:H22"/>
    <mergeCell ref="I21:I22"/>
    <mergeCell ref="I12:I13"/>
    <mergeCell ref="J12:J13"/>
    <mergeCell ref="K12:K13"/>
    <mergeCell ref="L12:L13"/>
    <mergeCell ref="M12:M13"/>
    <mergeCell ref="N12:N13"/>
    <mergeCell ref="S3:T3"/>
    <mergeCell ref="A9:A10"/>
    <mergeCell ref="B11:P11"/>
    <mergeCell ref="B12:B13"/>
    <mergeCell ref="C12:C13"/>
    <mergeCell ref="D12:D13"/>
    <mergeCell ref="E12:E13"/>
    <mergeCell ref="F12:F13"/>
    <mergeCell ref="G12:G13"/>
    <mergeCell ref="H12:H13"/>
    <mergeCell ref="J3:J4"/>
    <mergeCell ref="K3:K4"/>
    <mergeCell ref="L3:L4"/>
    <mergeCell ref="M3:M4"/>
    <mergeCell ref="N3:N4"/>
    <mergeCell ref="O3:P3"/>
    <mergeCell ref="B1:P1"/>
    <mergeCell ref="B2:P2"/>
    <mergeCell ref="B3:B4"/>
    <mergeCell ref="C3:C4"/>
    <mergeCell ref="D3:D4"/>
    <mergeCell ref="E3:E4"/>
    <mergeCell ref="F3:F4"/>
    <mergeCell ref="G3:G4"/>
    <mergeCell ref="H3:H4"/>
    <mergeCell ref="I3:I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DA4CDF-82C1-4BC4-B60F-0E20079AC762}">
  <sheetPr codeName="Feuil1">
    <tabColor theme="3" tint="0.499984740745262"/>
  </sheetPr>
  <dimension ref="B4:K88"/>
  <sheetViews>
    <sheetView showGridLines="0" zoomScale="63" workbookViewId="0">
      <selection activeCell="L11" sqref="L11"/>
    </sheetView>
  </sheetViews>
  <sheetFormatPr baseColWidth="10" defaultColWidth="11.42578125" defaultRowHeight="15" x14ac:dyDescent="0.25"/>
  <cols>
    <col min="1" max="1" width="11.42578125" style="20"/>
    <col min="2" max="2" width="38.85546875" style="20" bestFit="1" customWidth="1"/>
    <col min="3" max="3" width="15.7109375" style="20" customWidth="1"/>
    <col min="4" max="5" width="11.42578125" style="20"/>
    <col min="6" max="6" width="45.7109375" style="20" customWidth="1"/>
    <col min="7" max="9" width="11.42578125" style="20" bestFit="1" customWidth="1"/>
    <col min="10" max="10" width="41.7109375" style="20" customWidth="1"/>
    <col min="11" max="11" width="11.42578125" style="20" bestFit="1" customWidth="1"/>
    <col min="12" max="12" width="43" style="20" bestFit="1" customWidth="1"/>
    <col min="13" max="16384" width="11.42578125" style="20"/>
  </cols>
  <sheetData>
    <row r="4" spans="2:11" x14ac:dyDescent="0.25">
      <c r="B4" s="228" t="s">
        <v>287</v>
      </c>
      <c r="C4" s="229"/>
      <c r="F4" s="228" t="s">
        <v>288</v>
      </c>
      <c r="G4" s="229"/>
      <c r="H4" s="228"/>
      <c r="I4" s="229"/>
      <c r="J4" s="228"/>
      <c r="K4" s="229"/>
    </row>
    <row r="5" spans="2:11" ht="30" x14ac:dyDescent="0.25">
      <c r="B5" s="143" t="s">
        <v>292</v>
      </c>
      <c r="C5" s="21">
        <v>62400</v>
      </c>
      <c r="F5" s="144" t="s">
        <v>2</v>
      </c>
      <c r="G5" s="145" t="s">
        <v>3</v>
      </c>
      <c r="H5" s="145" t="s">
        <v>4</v>
      </c>
      <c r="I5" s="145" t="s">
        <v>5</v>
      </c>
      <c r="J5" s="146" t="s">
        <v>6</v>
      </c>
      <c r="K5" s="147" t="s">
        <v>5</v>
      </c>
    </row>
    <row r="6" spans="2:11" x14ac:dyDescent="0.25">
      <c r="B6" s="143" t="s">
        <v>7</v>
      </c>
      <c r="C6" s="21"/>
      <c r="F6" s="148" t="s">
        <v>8</v>
      </c>
      <c r="G6" s="148">
        <f>SUM(G7:G10)</f>
        <v>214000</v>
      </c>
      <c r="H6" s="148">
        <f>SUM(H7:H8)</f>
        <v>39100</v>
      </c>
      <c r="I6" s="148">
        <f>SUM(I7:I8)</f>
        <v>174900</v>
      </c>
      <c r="J6" s="148" t="s">
        <v>9</v>
      </c>
      <c r="K6" s="149">
        <f>SUM(K7:K10)</f>
        <v>96750</v>
      </c>
    </row>
    <row r="7" spans="2:11" x14ac:dyDescent="0.25">
      <c r="B7" s="144" t="s">
        <v>10</v>
      </c>
      <c r="C7" s="131">
        <f>SUM(C5:C6)</f>
        <v>62400</v>
      </c>
      <c r="F7" s="150" t="s">
        <v>11</v>
      </c>
      <c r="G7" s="150">
        <v>159000</v>
      </c>
      <c r="H7" s="150">
        <v>8500</v>
      </c>
      <c r="I7" s="150">
        <v>150500</v>
      </c>
      <c r="J7" s="150" t="s">
        <v>12</v>
      </c>
      <c r="K7" s="151">
        <v>50000</v>
      </c>
    </row>
    <row r="8" spans="2:11" x14ac:dyDescent="0.25">
      <c r="B8" s="143" t="s">
        <v>13</v>
      </c>
      <c r="C8" s="21">
        <v>18720</v>
      </c>
      <c r="F8" s="150" t="s">
        <v>14</v>
      </c>
      <c r="G8" s="150">
        <v>55000</v>
      </c>
      <c r="H8" s="150">
        <v>30600</v>
      </c>
      <c r="I8" s="150">
        <v>24400</v>
      </c>
      <c r="J8" s="150" t="s">
        <v>15</v>
      </c>
      <c r="K8" s="151">
        <v>5000</v>
      </c>
    </row>
    <row r="9" spans="2:11" x14ac:dyDescent="0.25">
      <c r="B9" s="143" t="s">
        <v>16</v>
      </c>
      <c r="C9" s="21">
        <v>21000</v>
      </c>
      <c r="F9" s="148"/>
      <c r="G9" s="148"/>
      <c r="H9" s="148"/>
      <c r="I9" s="148"/>
      <c r="J9" s="150" t="s">
        <v>17</v>
      </c>
      <c r="K9" s="151">
        <v>17900</v>
      </c>
    </row>
    <row r="10" spans="2:11" x14ac:dyDescent="0.25">
      <c r="B10" s="143" t="s">
        <v>18</v>
      </c>
      <c r="C10" s="21">
        <v>1200</v>
      </c>
      <c r="F10" s="150"/>
      <c r="G10" s="150"/>
      <c r="H10" s="150"/>
      <c r="I10" s="150"/>
      <c r="J10" s="150" t="s">
        <v>19</v>
      </c>
      <c r="K10" s="151">
        <v>23850</v>
      </c>
    </row>
    <row r="11" spans="2:11" x14ac:dyDescent="0.25">
      <c r="B11" s="143" t="s">
        <v>20</v>
      </c>
      <c r="C11" s="21">
        <v>0</v>
      </c>
      <c r="F11" s="152"/>
      <c r="G11" s="153"/>
      <c r="I11" s="153"/>
      <c r="J11" s="151"/>
      <c r="K11" s="149"/>
    </row>
    <row r="12" spans="2:11" x14ac:dyDescent="0.25">
      <c r="B12" s="143" t="s">
        <v>21</v>
      </c>
      <c r="C12" s="21">
        <v>0</v>
      </c>
      <c r="F12" s="148" t="s">
        <v>22</v>
      </c>
      <c r="G12" s="148">
        <f>SUM(G13:G16)</f>
        <v>100850</v>
      </c>
      <c r="H12" s="148">
        <f>SUM(H13:H16)</f>
        <v>0</v>
      </c>
      <c r="I12" s="148">
        <f>SUM(I13:I16)</f>
        <v>100850</v>
      </c>
      <c r="J12" s="148" t="s">
        <v>23</v>
      </c>
      <c r="K12" s="149">
        <f>SUM(K13:K16)</f>
        <v>179000</v>
      </c>
    </row>
    <row r="13" spans="2:11" ht="30" x14ac:dyDescent="0.25">
      <c r="B13" s="143" t="s">
        <v>24</v>
      </c>
      <c r="C13" s="21">
        <v>12000</v>
      </c>
      <c r="F13" s="150" t="s">
        <v>25</v>
      </c>
      <c r="G13" s="150">
        <v>15000</v>
      </c>
      <c r="H13" s="150"/>
      <c r="I13" s="150">
        <f>G13</f>
        <v>15000</v>
      </c>
      <c r="J13" s="150" t="s">
        <v>26</v>
      </c>
      <c r="K13" s="151">
        <v>120000</v>
      </c>
    </row>
    <row r="14" spans="2:11" x14ac:dyDescent="0.25">
      <c r="B14" s="144" t="s">
        <v>27</v>
      </c>
      <c r="C14" s="131">
        <f>SUM(C8:C13)</f>
        <v>52920</v>
      </c>
      <c r="F14" s="150" t="s">
        <v>28</v>
      </c>
      <c r="G14" s="150">
        <v>78000</v>
      </c>
      <c r="H14" s="150"/>
      <c r="I14" s="150">
        <v>78000</v>
      </c>
      <c r="J14" s="150" t="s">
        <v>29</v>
      </c>
      <c r="K14" s="151">
        <v>23500</v>
      </c>
    </row>
    <row r="15" spans="2:11" x14ac:dyDescent="0.25">
      <c r="B15" s="154" t="s">
        <v>30</v>
      </c>
      <c r="C15" s="155">
        <f>C7-C14</f>
        <v>9480</v>
      </c>
      <c r="F15" s="150" t="s">
        <v>31</v>
      </c>
      <c r="G15" s="150">
        <v>1500</v>
      </c>
      <c r="H15" s="150"/>
      <c r="I15" s="150">
        <v>1500</v>
      </c>
      <c r="J15" s="150" t="s">
        <v>32</v>
      </c>
      <c r="K15" s="151">
        <v>31000</v>
      </c>
    </row>
    <row r="16" spans="2:11" x14ac:dyDescent="0.25">
      <c r="B16" s="144" t="s">
        <v>33</v>
      </c>
      <c r="C16" s="131">
        <v>0</v>
      </c>
      <c r="F16" s="150" t="s">
        <v>34</v>
      </c>
      <c r="G16" s="150">
        <v>6350</v>
      </c>
      <c r="H16" s="150"/>
      <c r="I16" s="150">
        <v>6350</v>
      </c>
      <c r="J16" s="150" t="s">
        <v>35</v>
      </c>
      <c r="K16" s="151">
        <v>4500</v>
      </c>
    </row>
    <row r="17" spans="2:11" x14ac:dyDescent="0.25">
      <c r="B17" s="143" t="s">
        <v>36</v>
      </c>
      <c r="C17" s="21">
        <v>3800</v>
      </c>
      <c r="F17" s="150"/>
      <c r="G17" s="150"/>
      <c r="H17" s="150"/>
      <c r="I17" s="150"/>
      <c r="J17" s="150"/>
      <c r="K17" s="178"/>
    </row>
    <row r="18" spans="2:11" x14ac:dyDescent="0.25">
      <c r="B18" s="144" t="s">
        <v>37</v>
      </c>
      <c r="C18" s="131">
        <f>C17</f>
        <v>3800</v>
      </c>
      <c r="F18" s="156" t="s">
        <v>38</v>
      </c>
      <c r="G18" s="156">
        <f>G6+G12</f>
        <v>314850</v>
      </c>
      <c r="H18" s="156">
        <f>H6</f>
        <v>39100</v>
      </c>
      <c r="I18" s="156">
        <f>G18-H18</f>
        <v>275750</v>
      </c>
      <c r="J18" s="156" t="s">
        <v>39</v>
      </c>
      <c r="K18" s="157">
        <f>K6+K12</f>
        <v>275750</v>
      </c>
    </row>
    <row r="19" spans="2:11" x14ac:dyDescent="0.25">
      <c r="B19" s="154" t="s">
        <v>40</v>
      </c>
      <c r="C19" s="155">
        <f>C16-C18</f>
        <v>-3800</v>
      </c>
      <c r="F19" s="20" t="s">
        <v>41</v>
      </c>
      <c r="J19" s="158" t="s">
        <v>42</v>
      </c>
      <c r="K19" s="159">
        <f>I18-K18</f>
        <v>0</v>
      </c>
    </row>
    <row r="20" spans="2:11" x14ac:dyDescent="0.25">
      <c r="B20" s="154" t="s">
        <v>43</v>
      </c>
      <c r="C20" s="155">
        <f>C15-C18</f>
        <v>5680</v>
      </c>
      <c r="J20" s="158"/>
      <c r="K20" s="159"/>
    </row>
    <row r="21" spans="2:11" x14ac:dyDescent="0.25">
      <c r="B21" s="22" t="s">
        <v>293</v>
      </c>
      <c r="C21" s="21">
        <f>C20*15/100</f>
        <v>852</v>
      </c>
      <c r="F21" s="20" t="s">
        <v>44</v>
      </c>
    </row>
    <row r="22" spans="2:11" x14ac:dyDescent="0.25">
      <c r="B22" s="154" t="s">
        <v>45</v>
      </c>
      <c r="C22" s="21">
        <v>0</v>
      </c>
      <c r="F22" s="179" t="s">
        <v>46</v>
      </c>
    </row>
    <row r="23" spans="2:11" x14ac:dyDescent="0.25">
      <c r="B23" s="160" t="s">
        <v>47</v>
      </c>
      <c r="C23" s="161">
        <f>C20-C21</f>
        <v>4828</v>
      </c>
    </row>
    <row r="24" spans="2:11" x14ac:dyDescent="0.25">
      <c r="H24" s="180"/>
    </row>
    <row r="26" spans="2:11" x14ac:dyDescent="0.25">
      <c r="B26" s="252" t="s">
        <v>290</v>
      </c>
      <c r="C26" s="253"/>
      <c r="D26" s="253"/>
      <c r="E26" s="253"/>
      <c r="F26" s="253"/>
      <c r="G26" s="253"/>
      <c r="H26" s="253"/>
      <c r="I26" s="253"/>
      <c r="J26" s="253"/>
      <c r="K26" s="254"/>
    </row>
    <row r="27" spans="2:11" x14ac:dyDescent="0.25">
      <c r="B27" s="255"/>
      <c r="C27" s="256"/>
      <c r="D27" s="256"/>
      <c r="E27" s="256"/>
      <c r="F27" s="256"/>
      <c r="G27" s="256"/>
      <c r="H27" s="256"/>
      <c r="I27" s="256"/>
      <c r="J27" s="256"/>
      <c r="K27" s="257"/>
    </row>
    <row r="28" spans="2:11" x14ac:dyDescent="0.25">
      <c r="B28" s="258"/>
      <c r="C28" s="259"/>
      <c r="D28" s="259"/>
      <c r="E28" s="259"/>
      <c r="F28" s="259"/>
      <c r="G28" s="259"/>
      <c r="H28" s="259"/>
      <c r="I28" s="259"/>
      <c r="J28" s="259"/>
      <c r="K28" s="260"/>
    </row>
    <row r="35" spans="2:11" x14ac:dyDescent="0.25">
      <c r="B35" s="243" t="s">
        <v>289</v>
      </c>
      <c r="C35" s="244"/>
      <c r="D35" s="244"/>
      <c r="E35" s="244"/>
      <c r="F35" s="244"/>
      <c r="G35" s="244"/>
      <c r="H35" s="244"/>
      <c r="I35" s="244"/>
      <c r="J35" s="244"/>
      <c r="K35" s="245"/>
    </row>
    <row r="36" spans="2:11" x14ac:dyDescent="0.25">
      <c r="B36" s="246"/>
      <c r="C36" s="247"/>
      <c r="D36" s="247"/>
      <c r="E36" s="247"/>
      <c r="F36" s="247"/>
      <c r="G36" s="247"/>
      <c r="H36" s="247"/>
      <c r="I36" s="247"/>
      <c r="J36" s="247"/>
      <c r="K36" s="248"/>
    </row>
    <row r="37" spans="2:11" x14ac:dyDescent="0.25">
      <c r="B37" s="249"/>
      <c r="C37" s="250"/>
      <c r="D37" s="250"/>
      <c r="E37" s="250"/>
      <c r="F37" s="250"/>
      <c r="G37" s="250"/>
      <c r="H37" s="250"/>
      <c r="I37" s="250"/>
      <c r="J37" s="250"/>
      <c r="K37" s="251"/>
    </row>
    <row r="40" spans="2:11" x14ac:dyDescent="0.25">
      <c r="B40" s="228" t="s">
        <v>287</v>
      </c>
      <c r="C40" s="229"/>
      <c r="F40" s="228" t="s">
        <v>288</v>
      </c>
      <c r="G40" s="229"/>
      <c r="H40" s="228"/>
      <c r="I40" s="229"/>
      <c r="J40" s="228"/>
      <c r="K40" s="229"/>
    </row>
    <row r="41" spans="2:11" ht="30" x14ac:dyDescent="0.25">
      <c r="B41" s="143" t="s">
        <v>1</v>
      </c>
      <c r="C41" s="21">
        <v>785500</v>
      </c>
      <c r="F41" s="144" t="s">
        <v>2</v>
      </c>
      <c r="G41" s="145" t="s">
        <v>3</v>
      </c>
      <c r="H41" s="145" t="s">
        <v>4</v>
      </c>
      <c r="I41" s="145" t="s">
        <v>5</v>
      </c>
      <c r="J41" s="146" t="s">
        <v>6</v>
      </c>
      <c r="K41" s="147" t="s">
        <v>5</v>
      </c>
    </row>
    <row r="42" spans="2:11" x14ac:dyDescent="0.25">
      <c r="B42" s="143" t="s">
        <v>7</v>
      </c>
      <c r="C42" s="21">
        <v>8000</v>
      </c>
      <c r="F42" s="148" t="s">
        <v>8</v>
      </c>
      <c r="G42" s="148">
        <f>SUM(G43:G46)</f>
        <v>214000</v>
      </c>
      <c r="H42" s="148">
        <f>SUM(H43:H44)</f>
        <v>39100</v>
      </c>
      <c r="I42" s="148">
        <f>SUM(I43:I44)</f>
        <v>174900</v>
      </c>
      <c r="J42" s="148" t="s">
        <v>9</v>
      </c>
      <c r="K42" s="149">
        <f>SUM(K43:K46)</f>
        <v>96750</v>
      </c>
    </row>
    <row r="43" spans="2:11" x14ac:dyDescent="0.25">
      <c r="B43" s="144" t="s">
        <v>10</v>
      </c>
      <c r="C43" s="131">
        <f>SUM(C41:C42)</f>
        <v>793500</v>
      </c>
      <c r="F43" s="150" t="s">
        <v>11</v>
      </c>
      <c r="G43" s="150">
        <v>159000</v>
      </c>
      <c r="H43" s="150">
        <v>8500</v>
      </c>
      <c r="I43" s="150">
        <v>150500</v>
      </c>
      <c r="J43" s="150" t="s">
        <v>12</v>
      </c>
      <c r="K43" s="151">
        <v>50000</v>
      </c>
    </row>
    <row r="44" spans="2:11" x14ac:dyDescent="0.25">
      <c r="B44" s="143" t="s">
        <v>13</v>
      </c>
      <c r="C44" s="21">
        <v>235000</v>
      </c>
      <c r="F44" s="150" t="s">
        <v>14</v>
      </c>
      <c r="G44" s="150">
        <v>55000</v>
      </c>
      <c r="H44" s="150">
        <v>30600</v>
      </c>
      <c r="I44" s="150">
        <v>24400</v>
      </c>
      <c r="J44" s="150" t="s">
        <v>15</v>
      </c>
      <c r="K44" s="151">
        <v>5000</v>
      </c>
    </row>
    <row r="45" spans="2:11" x14ac:dyDescent="0.25">
      <c r="B45" s="143" t="s">
        <v>16</v>
      </c>
      <c r="C45" s="21">
        <v>85000</v>
      </c>
      <c r="F45" s="148"/>
      <c r="G45" s="148"/>
      <c r="H45" s="148"/>
      <c r="I45" s="148"/>
      <c r="J45" s="150" t="s">
        <v>17</v>
      </c>
      <c r="K45" s="151">
        <v>17900</v>
      </c>
    </row>
    <row r="46" spans="2:11" x14ac:dyDescent="0.25">
      <c r="B46" s="143" t="s">
        <v>18</v>
      </c>
      <c r="C46" s="21">
        <v>6400</v>
      </c>
      <c r="F46" s="150"/>
      <c r="G46" s="150"/>
      <c r="H46" s="150"/>
      <c r="I46" s="150"/>
      <c r="J46" s="150" t="s">
        <v>19</v>
      </c>
      <c r="K46" s="151">
        <v>23850</v>
      </c>
    </row>
    <row r="47" spans="2:11" x14ac:dyDescent="0.25">
      <c r="B47" s="143" t="s">
        <v>20</v>
      </c>
      <c r="C47" s="21">
        <v>307500</v>
      </c>
      <c r="F47" s="152"/>
      <c r="G47" s="153"/>
      <c r="I47" s="153"/>
      <c r="J47" s="151"/>
      <c r="K47" s="149"/>
    </row>
    <row r="48" spans="2:11" x14ac:dyDescent="0.25">
      <c r="B48" s="143" t="s">
        <v>21</v>
      </c>
      <c r="C48" s="21">
        <v>123000</v>
      </c>
      <c r="F48" s="148" t="s">
        <v>22</v>
      </c>
      <c r="G48" s="148">
        <f>SUM(G49:G52)</f>
        <v>100850</v>
      </c>
      <c r="H48" s="148">
        <f>SUM(H49:H52)</f>
        <v>0</v>
      </c>
      <c r="I48" s="148">
        <f>SUM(I49:I52)</f>
        <v>100850</v>
      </c>
      <c r="J48" s="148" t="s">
        <v>23</v>
      </c>
      <c r="K48" s="149">
        <f>SUM(K49:K52)</f>
        <v>179000</v>
      </c>
    </row>
    <row r="49" spans="2:11" ht="30" x14ac:dyDescent="0.25">
      <c r="B49" s="143" t="s">
        <v>24</v>
      </c>
      <c r="C49" s="21">
        <v>7500</v>
      </c>
      <c r="F49" s="150" t="s">
        <v>25</v>
      </c>
      <c r="G49" s="150">
        <v>15000</v>
      </c>
      <c r="H49" s="150"/>
      <c r="I49" s="150">
        <f>G49</f>
        <v>15000</v>
      </c>
      <c r="J49" s="150" t="s">
        <v>26</v>
      </c>
      <c r="K49" s="151">
        <v>120000</v>
      </c>
    </row>
    <row r="50" spans="2:11" x14ac:dyDescent="0.25">
      <c r="B50" s="144" t="s">
        <v>27</v>
      </c>
      <c r="C50" s="131">
        <f>SUM(C44:C49)</f>
        <v>764400</v>
      </c>
      <c r="F50" s="150" t="s">
        <v>28</v>
      </c>
      <c r="G50" s="150">
        <v>78000</v>
      </c>
      <c r="H50" s="150"/>
      <c r="I50" s="150">
        <v>78000</v>
      </c>
      <c r="J50" s="150" t="s">
        <v>29</v>
      </c>
      <c r="K50" s="151">
        <v>23500</v>
      </c>
    </row>
    <row r="51" spans="2:11" x14ac:dyDescent="0.25">
      <c r="B51" s="154" t="s">
        <v>30</v>
      </c>
      <c r="C51" s="155">
        <f>C43-C50</f>
        <v>29100</v>
      </c>
      <c r="F51" s="150" t="s">
        <v>31</v>
      </c>
      <c r="G51" s="150">
        <v>1500</v>
      </c>
      <c r="H51" s="150"/>
      <c r="I51" s="150">
        <v>1500</v>
      </c>
      <c r="J51" s="150" t="s">
        <v>32</v>
      </c>
      <c r="K51" s="151">
        <v>31000</v>
      </c>
    </row>
    <row r="52" spans="2:11" x14ac:dyDescent="0.25">
      <c r="B52" s="144" t="s">
        <v>33</v>
      </c>
      <c r="C52" s="131">
        <v>0</v>
      </c>
      <c r="F52" s="150" t="s">
        <v>34</v>
      </c>
      <c r="G52" s="150">
        <v>6350</v>
      </c>
      <c r="H52" s="150"/>
      <c r="I52" s="150">
        <v>6350</v>
      </c>
      <c r="J52" s="150" t="s">
        <v>35</v>
      </c>
      <c r="K52" s="151">
        <v>4500</v>
      </c>
    </row>
    <row r="53" spans="2:11" x14ac:dyDescent="0.25">
      <c r="B53" s="143" t="s">
        <v>36</v>
      </c>
      <c r="C53" s="21">
        <v>5250</v>
      </c>
      <c r="F53" s="150"/>
      <c r="G53" s="150"/>
      <c r="H53" s="150"/>
      <c r="I53" s="150"/>
      <c r="J53" s="150"/>
      <c r="K53" s="178"/>
    </row>
    <row r="54" spans="2:11" x14ac:dyDescent="0.25">
      <c r="B54" s="144" t="s">
        <v>37</v>
      </c>
      <c r="C54" s="131">
        <v>5250</v>
      </c>
      <c r="F54" s="156" t="s">
        <v>38</v>
      </c>
      <c r="G54" s="156">
        <f>G42+G48</f>
        <v>314850</v>
      </c>
      <c r="H54" s="156">
        <f>H42</f>
        <v>39100</v>
      </c>
      <c r="I54" s="156">
        <f>G54-H54</f>
        <v>275750</v>
      </c>
      <c r="J54" s="156" t="s">
        <v>39</v>
      </c>
      <c r="K54" s="157">
        <f>K42+K48</f>
        <v>275750</v>
      </c>
    </row>
    <row r="55" spans="2:11" x14ac:dyDescent="0.25">
      <c r="B55" s="154" t="s">
        <v>40</v>
      </c>
      <c r="C55" s="155">
        <v>-5250</v>
      </c>
      <c r="F55" s="20" t="s">
        <v>41</v>
      </c>
      <c r="J55" s="158" t="s">
        <v>42</v>
      </c>
      <c r="K55" s="159">
        <f>I54-K54</f>
        <v>0</v>
      </c>
    </row>
    <row r="56" spans="2:11" x14ac:dyDescent="0.25">
      <c r="B56" s="154" t="s">
        <v>43</v>
      </c>
      <c r="C56" s="155">
        <v>23850</v>
      </c>
      <c r="F56" s="20" t="s">
        <v>44</v>
      </c>
    </row>
    <row r="57" spans="2:11" x14ac:dyDescent="0.25">
      <c r="B57" s="154" t="s">
        <v>45</v>
      </c>
      <c r="C57" s="21">
        <v>0</v>
      </c>
      <c r="F57" s="179" t="s">
        <v>46</v>
      </c>
    </row>
    <row r="58" spans="2:11" x14ac:dyDescent="0.25">
      <c r="B58" s="160" t="s">
        <v>47</v>
      </c>
      <c r="C58" s="161">
        <v>23850</v>
      </c>
    </row>
    <row r="63" spans="2:11" x14ac:dyDescent="0.25">
      <c r="B63" s="234" t="s">
        <v>291</v>
      </c>
      <c r="C63" s="235"/>
      <c r="D63" s="235"/>
      <c r="E63" s="235"/>
      <c r="F63" s="235"/>
      <c r="G63" s="235"/>
      <c r="H63" s="235"/>
      <c r="I63" s="235"/>
      <c r="J63" s="235"/>
      <c r="K63" s="236"/>
    </row>
    <row r="64" spans="2:11" x14ac:dyDescent="0.25">
      <c r="B64" s="237"/>
      <c r="C64" s="238"/>
      <c r="D64" s="238"/>
      <c r="E64" s="238"/>
      <c r="F64" s="238"/>
      <c r="G64" s="238"/>
      <c r="H64" s="238"/>
      <c r="I64" s="238"/>
      <c r="J64" s="238"/>
      <c r="K64" s="239"/>
    </row>
    <row r="65" spans="2:11" x14ac:dyDescent="0.25">
      <c r="B65" s="240"/>
      <c r="C65" s="241"/>
      <c r="D65" s="241"/>
      <c r="E65" s="241"/>
      <c r="F65" s="241"/>
      <c r="G65" s="241"/>
      <c r="H65" s="241"/>
      <c r="I65" s="241"/>
      <c r="J65" s="241"/>
      <c r="K65" s="242"/>
    </row>
    <row r="70" spans="2:11" x14ac:dyDescent="0.25">
      <c r="B70" s="228" t="s">
        <v>287</v>
      </c>
      <c r="C70" s="229"/>
      <c r="F70" s="228" t="s">
        <v>288</v>
      </c>
      <c r="G70" s="229"/>
      <c r="H70" s="228"/>
      <c r="I70" s="229"/>
      <c r="J70" s="228"/>
      <c r="K70" s="229"/>
    </row>
    <row r="71" spans="2:11" ht="30" x14ac:dyDescent="0.25">
      <c r="B71" s="143" t="s">
        <v>1</v>
      </c>
      <c r="C71" s="21">
        <v>785500</v>
      </c>
      <c r="F71" s="144" t="s">
        <v>2</v>
      </c>
      <c r="G71" s="145" t="s">
        <v>3</v>
      </c>
      <c r="H71" s="145" t="s">
        <v>4</v>
      </c>
      <c r="I71" s="145" t="s">
        <v>5</v>
      </c>
      <c r="J71" s="146" t="s">
        <v>6</v>
      </c>
      <c r="K71" s="147" t="s">
        <v>5</v>
      </c>
    </row>
    <row r="72" spans="2:11" x14ac:dyDescent="0.25">
      <c r="B72" s="143" t="s">
        <v>7</v>
      </c>
      <c r="C72" s="21">
        <v>8000</v>
      </c>
      <c r="F72" s="148" t="s">
        <v>8</v>
      </c>
      <c r="G72" s="148">
        <f>SUM(G73:G76)</f>
        <v>214000</v>
      </c>
      <c r="H72" s="148">
        <f>SUM(H73:H74)</f>
        <v>39100</v>
      </c>
      <c r="I72" s="148">
        <f>SUM(I73:I74)</f>
        <v>174900</v>
      </c>
      <c r="J72" s="148" t="s">
        <v>9</v>
      </c>
      <c r="K72" s="149">
        <f>SUM(K73:K76)</f>
        <v>96750</v>
      </c>
    </row>
    <row r="73" spans="2:11" x14ac:dyDescent="0.25">
      <c r="B73" s="144" t="s">
        <v>10</v>
      </c>
      <c r="C73" s="131">
        <f>SUM(C71:C72)</f>
        <v>793500</v>
      </c>
      <c r="F73" s="150" t="s">
        <v>11</v>
      </c>
      <c r="G73" s="150">
        <v>159000</v>
      </c>
      <c r="H73" s="150">
        <v>8500</v>
      </c>
      <c r="I73" s="150">
        <v>150500</v>
      </c>
      <c r="J73" s="150" t="s">
        <v>12</v>
      </c>
      <c r="K73" s="151">
        <v>50000</v>
      </c>
    </row>
    <row r="74" spans="2:11" x14ac:dyDescent="0.25">
      <c r="B74" s="143" t="s">
        <v>13</v>
      </c>
      <c r="C74" s="21">
        <v>235000</v>
      </c>
      <c r="F74" s="150" t="s">
        <v>14</v>
      </c>
      <c r="G74" s="150">
        <v>55000</v>
      </c>
      <c r="H74" s="150">
        <v>30600</v>
      </c>
      <c r="I74" s="150">
        <v>24400</v>
      </c>
      <c r="J74" s="150" t="s">
        <v>15</v>
      </c>
      <c r="K74" s="151">
        <v>5000</v>
      </c>
    </row>
    <row r="75" spans="2:11" x14ac:dyDescent="0.25">
      <c r="B75" s="143" t="s">
        <v>16</v>
      </c>
      <c r="C75" s="21">
        <v>85000</v>
      </c>
      <c r="F75" s="148"/>
      <c r="G75" s="148"/>
      <c r="H75" s="148"/>
      <c r="I75" s="148"/>
      <c r="J75" s="150" t="s">
        <v>17</v>
      </c>
      <c r="K75" s="151">
        <v>17900</v>
      </c>
    </row>
    <row r="76" spans="2:11" x14ac:dyDescent="0.25">
      <c r="B76" s="143" t="s">
        <v>18</v>
      </c>
      <c r="C76" s="21">
        <v>6400</v>
      </c>
      <c r="F76" s="150"/>
      <c r="G76" s="150"/>
      <c r="H76" s="150"/>
      <c r="I76" s="150"/>
      <c r="J76" s="150" t="s">
        <v>19</v>
      </c>
      <c r="K76" s="151">
        <v>23850</v>
      </c>
    </row>
    <row r="77" spans="2:11" x14ac:dyDescent="0.25">
      <c r="B77" s="143" t="s">
        <v>20</v>
      </c>
      <c r="C77" s="21">
        <v>307500</v>
      </c>
      <c r="F77" s="152"/>
      <c r="G77" s="153"/>
      <c r="I77" s="153"/>
      <c r="J77" s="151"/>
      <c r="K77" s="149"/>
    </row>
    <row r="78" spans="2:11" x14ac:dyDescent="0.25">
      <c r="B78" s="143" t="s">
        <v>21</v>
      </c>
      <c r="C78" s="21">
        <v>123000</v>
      </c>
      <c r="F78" s="148" t="s">
        <v>22</v>
      </c>
      <c r="G78" s="148">
        <f>SUM(G79:G82)</f>
        <v>100850</v>
      </c>
      <c r="H78" s="148">
        <f>SUM(H79:H82)</f>
        <v>0</v>
      </c>
      <c r="I78" s="148">
        <f>SUM(I79:I82)</f>
        <v>100850</v>
      </c>
      <c r="J78" s="148" t="s">
        <v>23</v>
      </c>
      <c r="K78" s="149">
        <f>SUM(K79:K82)</f>
        <v>179000</v>
      </c>
    </row>
    <row r="79" spans="2:11" ht="30" x14ac:dyDescent="0.25">
      <c r="B79" s="143" t="s">
        <v>24</v>
      </c>
      <c r="C79" s="21">
        <v>7500</v>
      </c>
      <c r="F79" s="150" t="s">
        <v>25</v>
      </c>
      <c r="G79" s="150">
        <v>15000</v>
      </c>
      <c r="H79" s="150"/>
      <c r="I79" s="150">
        <f>G79</f>
        <v>15000</v>
      </c>
      <c r="J79" s="150" t="s">
        <v>26</v>
      </c>
      <c r="K79" s="151">
        <v>120000</v>
      </c>
    </row>
    <row r="80" spans="2:11" x14ac:dyDescent="0.25">
      <c r="B80" s="144" t="s">
        <v>27</v>
      </c>
      <c r="C80" s="131">
        <f>SUM(C74:C79)</f>
        <v>764400</v>
      </c>
      <c r="F80" s="150" t="s">
        <v>28</v>
      </c>
      <c r="G80" s="150">
        <v>78000</v>
      </c>
      <c r="H80" s="150"/>
      <c r="I80" s="150">
        <v>78000</v>
      </c>
      <c r="J80" s="150" t="s">
        <v>29</v>
      </c>
      <c r="K80" s="151">
        <v>23500</v>
      </c>
    </row>
    <row r="81" spans="2:11" x14ac:dyDescent="0.25">
      <c r="B81" s="154" t="s">
        <v>30</v>
      </c>
      <c r="C81" s="155">
        <f>C73-C80</f>
        <v>29100</v>
      </c>
      <c r="F81" s="150" t="s">
        <v>31</v>
      </c>
      <c r="G81" s="150">
        <v>1500</v>
      </c>
      <c r="H81" s="150"/>
      <c r="I81" s="150">
        <v>1500</v>
      </c>
      <c r="J81" s="150" t="s">
        <v>32</v>
      </c>
      <c r="K81" s="151">
        <v>31000</v>
      </c>
    </row>
    <row r="82" spans="2:11" x14ac:dyDescent="0.25">
      <c r="B82" s="144" t="s">
        <v>33</v>
      </c>
      <c r="C82" s="131">
        <v>0</v>
      </c>
      <c r="F82" s="150" t="s">
        <v>34</v>
      </c>
      <c r="G82" s="150">
        <v>6350</v>
      </c>
      <c r="H82" s="150"/>
      <c r="I82" s="150">
        <v>6350</v>
      </c>
      <c r="J82" s="150" t="s">
        <v>35</v>
      </c>
      <c r="K82" s="151">
        <v>4500</v>
      </c>
    </row>
    <row r="83" spans="2:11" x14ac:dyDescent="0.25">
      <c r="B83" s="143" t="s">
        <v>36</v>
      </c>
      <c r="C83" s="21">
        <v>5250</v>
      </c>
      <c r="F83" s="150"/>
      <c r="G83" s="150"/>
      <c r="H83" s="150"/>
      <c r="I83" s="150"/>
      <c r="J83" s="150"/>
      <c r="K83" s="178"/>
    </row>
    <row r="84" spans="2:11" x14ac:dyDescent="0.25">
      <c r="B84" s="144" t="s">
        <v>37</v>
      </c>
      <c r="C84" s="131">
        <v>5250</v>
      </c>
      <c r="F84" s="156" t="s">
        <v>38</v>
      </c>
      <c r="G84" s="156">
        <f>G72+G78</f>
        <v>314850</v>
      </c>
      <c r="H84" s="156">
        <f>H72</f>
        <v>39100</v>
      </c>
      <c r="I84" s="156">
        <f>G84-H84</f>
        <v>275750</v>
      </c>
      <c r="J84" s="156" t="s">
        <v>39</v>
      </c>
      <c r="K84" s="157">
        <f>K72+K78</f>
        <v>275750</v>
      </c>
    </row>
    <row r="85" spans="2:11" x14ac:dyDescent="0.25">
      <c r="B85" s="154" t="s">
        <v>40</v>
      </c>
      <c r="C85" s="155">
        <v>-5250</v>
      </c>
      <c r="F85" s="20" t="s">
        <v>41</v>
      </c>
      <c r="J85" s="158" t="s">
        <v>42</v>
      </c>
      <c r="K85" s="159">
        <f>I84-K84</f>
        <v>0</v>
      </c>
    </row>
    <row r="86" spans="2:11" x14ac:dyDescent="0.25">
      <c r="B86" s="154" t="s">
        <v>43</v>
      </c>
      <c r="C86" s="155">
        <v>23850</v>
      </c>
      <c r="F86" s="20" t="s">
        <v>44</v>
      </c>
    </row>
    <row r="87" spans="2:11" x14ac:dyDescent="0.25">
      <c r="B87" s="154" t="s">
        <v>45</v>
      </c>
      <c r="C87" s="21">
        <v>0</v>
      </c>
      <c r="F87" s="179" t="s">
        <v>46</v>
      </c>
    </row>
    <row r="88" spans="2:11" x14ac:dyDescent="0.25">
      <c r="B88" s="160" t="s">
        <v>47</v>
      </c>
      <c r="C88" s="161">
        <v>23850</v>
      </c>
    </row>
  </sheetData>
  <mergeCells count="15">
    <mergeCell ref="B4:C4"/>
    <mergeCell ref="F4:G4"/>
    <mergeCell ref="H4:I4"/>
    <mergeCell ref="J4:K4"/>
    <mergeCell ref="B26:K28"/>
    <mergeCell ref="B40:C40"/>
    <mergeCell ref="F40:G40"/>
    <mergeCell ref="H40:I40"/>
    <mergeCell ref="J40:K40"/>
    <mergeCell ref="B35:K37"/>
    <mergeCell ref="B63:K65"/>
    <mergeCell ref="B70:C70"/>
    <mergeCell ref="F70:G70"/>
    <mergeCell ref="H70:I70"/>
    <mergeCell ref="J70:K7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01DAEF-049A-4F4A-BF09-3C66212A684C}">
  <sheetPr>
    <tabColor theme="3" tint="0.499984740745262"/>
  </sheetPr>
  <dimension ref="A1:O367"/>
  <sheetViews>
    <sheetView topLeftCell="A15" workbookViewId="0">
      <selection activeCell="A304" sqref="A304"/>
    </sheetView>
  </sheetViews>
  <sheetFormatPr baseColWidth="10" defaultRowHeight="15" x14ac:dyDescent="0.25"/>
  <cols>
    <col min="1" max="1" width="26.85546875" customWidth="1"/>
  </cols>
  <sheetData>
    <row r="1" spans="1:15" x14ac:dyDescent="0.25">
      <c r="B1" s="263" t="s">
        <v>294</v>
      </c>
      <c r="C1" s="262"/>
      <c r="D1" s="262"/>
      <c r="E1" s="262"/>
      <c r="F1" s="262"/>
      <c r="G1" s="262"/>
      <c r="H1" s="262"/>
      <c r="I1" s="262"/>
      <c r="J1" s="262"/>
      <c r="K1" s="262"/>
      <c r="L1" s="262"/>
      <c r="M1" s="262"/>
      <c r="N1" s="262"/>
      <c r="O1" s="262"/>
    </row>
    <row r="4" spans="1:15" x14ac:dyDescent="0.25">
      <c r="A4" s="202" t="s">
        <v>297</v>
      </c>
      <c r="B4" s="198">
        <v>15000</v>
      </c>
    </row>
    <row r="5" spans="1:15" x14ac:dyDescent="0.25">
      <c r="A5" s="202" t="s">
        <v>298</v>
      </c>
      <c r="B5" s="198">
        <v>100000</v>
      </c>
    </row>
    <row r="6" spans="1:15" x14ac:dyDescent="0.25">
      <c r="A6" s="202" t="s">
        <v>299</v>
      </c>
      <c r="B6" s="199">
        <v>0.05</v>
      </c>
    </row>
    <row r="7" spans="1:15" x14ac:dyDescent="0.25">
      <c r="A7" s="202" t="s">
        <v>300</v>
      </c>
      <c r="B7" s="200">
        <v>60</v>
      </c>
    </row>
    <row r="8" spans="1:15" x14ac:dyDescent="0.25">
      <c r="A8" s="202" t="s">
        <v>301</v>
      </c>
      <c r="B8" s="201">
        <f>$B$5*($B$6/12)/(1-POWER(1+($B$6/12),-$B$7))</f>
        <v>1887.1233644010879</v>
      </c>
    </row>
    <row r="9" spans="1:15" x14ac:dyDescent="0.25">
      <c r="A9" s="202" t="s">
        <v>302</v>
      </c>
      <c r="B9" s="198">
        <v>265000</v>
      </c>
    </row>
    <row r="10" spans="1:15" ht="30" x14ac:dyDescent="0.25">
      <c r="A10" s="202" t="s">
        <v>303</v>
      </c>
      <c r="B10" s="199">
        <v>0.2</v>
      </c>
    </row>
    <row r="11" spans="1:15" x14ac:dyDescent="0.25">
      <c r="A11" s="202" t="s">
        <v>304</v>
      </c>
      <c r="B11" s="199">
        <v>0.2</v>
      </c>
    </row>
    <row r="12" spans="1:15" ht="30" x14ac:dyDescent="0.25">
      <c r="A12" s="202" t="s">
        <v>305</v>
      </c>
      <c r="B12" s="199">
        <v>0.3</v>
      </c>
    </row>
    <row r="13" spans="1:15" x14ac:dyDescent="0.25">
      <c r="A13" s="202" t="s">
        <v>306</v>
      </c>
      <c r="B13" s="198">
        <v>12960</v>
      </c>
    </row>
    <row r="14" spans="1:15" ht="30" x14ac:dyDescent="0.25">
      <c r="A14" s="202" t="s">
        <v>307</v>
      </c>
      <c r="B14" s="198">
        <v>21000</v>
      </c>
    </row>
    <row r="15" spans="1:15" x14ac:dyDescent="0.25">
      <c r="A15" s="202" t="s">
        <v>308</v>
      </c>
      <c r="B15" s="198">
        <v>31000</v>
      </c>
    </row>
    <row r="16" spans="1:15" x14ac:dyDescent="0.25">
      <c r="A16" s="202" t="s">
        <v>309</v>
      </c>
      <c r="B16" s="199">
        <v>0.42</v>
      </c>
    </row>
    <row r="17" spans="1:14" ht="30" x14ac:dyDescent="0.25">
      <c r="A17" s="202" t="s">
        <v>310</v>
      </c>
      <c r="B17" s="200">
        <v>0</v>
      </c>
    </row>
    <row r="18" spans="1:14" ht="30" x14ac:dyDescent="0.25">
      <c r="A18" s="202" t="s">
        <v>311</v>
      </c>
      <c r="B18" s="200">
        <v>1</v>
      </c>
    </row>
    <row r="19" spans="1:14" x14ac:dyDescent="0.25">
      <c r="A19" s="202" t="s">
        <v>312</v>
      </c>
      <c r="B19" s="198">
        <v>35000</v>
      </c>
    </row>
    <row r="20" spans="1:14" x14ac:dyDescent="0.25">
      <c r="A20" s="202" t="s">
        <v>313</v>
      </c>
      <c r="B20" s="198">
        <v>65000</v>
      </c>
    </row>
    <row r="26" spans="1:14" x14ac:dyDescent="0.25">
      <c r="A26" s="261" t="s">
        <v>200</v>
      </c>
      <c r="B26" s="262"/>
      <c r="C26" s="262"/>
      <c r="D26" s="262"/>
      <c r="E26" s="262"/>
      <c r="F26" s="262"/>
      <c r="G26" s="262"/>
      <c r="H26" s="262"/>
      <c r="I26" s="262"/>
      <c r="J26" s="262"/>
      <c r="K26" s="262"/>
      <c r="L26" s="262"/>
      <c r="M26" s="262"/>
      <c r="N26" s="262"/>
    </row>
    <row r="27" spans="1:14" x14ac:dyDescent="0.25">
      <c r="A27" s="203" t="s">
        <v>314</v>
      </c>
      <c r="B27" s="203" t="s">
        <v>318</v>
      </c>
      <c r="C27" s="203" t="s">
        <v>319</v>
      </c>
      <c r="D27" s="203" t="s">
        <v>320</v>
      </c>
      <c r="E27" s="203" t="s">
        <v>321</v>
      </c>
      <c r="F27" s="203" t="s">
        <v>54</v>
      </c>
      <c r="G27" s="203" t="s">
        <v>322</v>
      </c>
      <c r="H27" s="203" t="s">
        <v>323</v>
      </c>
      <c r="I27" s="203" t="s">
        <v>324</v>
      </c>
      <c r="J27" s="203" t="s">
        <v>325</v>
      </c>
      <c r="K27" s="203" t="s">
        <v>326</v>
      </c>
      <c r="L27" s="203" t="s">
        <v>327</v>
      </c>
      <c r="M27" s="203" t="s">
        <v>328</v>
      </c>
      <c r="N27" s="203" t="s">
        <v>329</v>
      </c>
    </row>
    <row r="28" spans="1:14" x14ac:dyDescent="0.25">
      <c r="A28" s="197" t="s">
        <v>315</v>
      </c>
    </row>
    <row r="29" spans="1:14" x14ac:dyDescent="0.25">
      <c r="A29" s="197" t="s">
        <v>68</v>
      </c>
    </row>
    <row r="30" spans="1:14" x14ac:dyDescent="0.25">
      <c r="A30" s="197" t="s">
        <v>316</v>
      </c>
    </row>
    <row r="31" spans="1:14" x14ac:dyDescent="0.25">
      <c r="A31" s="197" t="s">
        <v>317</v>
      </c>
    </row>
    <row r="36" spans="1:14" x14ac:dyDescent="0.25">
      <c r="A36" s="203" t="s">
        <v>314</v>
      </c>
      <c r="B36" s="203" t="s">
        <v>318</v>
      </c>
      <c r="C36" s="203" t="s">
        <v>319</v>
      </c>
      <c r="D36" s="203" t="s">
        <v>320</v>
      </c>
      <c r="E36" s="203" t="s">
        <v>321</v>
      </c>
      <c r="F36" s="203" t="s">
        <v>54</v>
      </c>
      <c r="G36" s="203" t="s">
        <v>322</v>
      </c>
      <c r="H36" s="203" t="s">
        <v>323</v>
      </c>
      <c r="I36" s="203" t="s">
        <v>324</v>
      </c>
      <c r="J36" s="203" t="s">
        <v>325</v>
      </c>
      <c r="K36" s="203" t="s">
        <v>326</v>
      </c>
      <c r="L36" s="203" t="s">
        <v>327</v>
      </c>
      <c r="M36" s="203" t="s">
        <v>328</v>
      </c>
      <c r="N36" s="203" t="s">
        <v>329</v>
      </c>
    </row>
    <row r="37" spans="1:14" ht="30" x14ac:dyDescent="0.25">
      <c r="A37" s="197" t="s">
        <v>330</v>
      </c>
    </row>
    <row r="38" spans="1:14" x14ac:dyDescent="0.25">
      <c r="A38" s="197" t="s">
        <v>331</v>
      </c>
    </row>
    <row r="39" spans="1:14" x14ac:dyDescent="0.25">
      <c r="A39" s="197" t="s">
        <v>332</v>
      </c>
    </row>
    <row r="40" spans="1:14" ht="30" x14ac:dyDescent="0.25">
      <c r="A40" s="197" t="s">
        <v>333</v>
      </c>
    </row>
    <row r="44" spans="1:14" x14ac:dyDescent="0.25">
      <c r="A44" s="203" t="s">
        <v>314</v>
      </c>
      <c r="B44" s="203" t="s">
        <v>318</v>
      </c>
      <c r="C44" s="203" t="s">
        <v>319</v>
      </c>
      <c r="D44" s="203" t="s">
        <v>320</v>
      </c>
      <c r="E44" s="203" t="s">
        <v>321</v>
      </c>
      <c r="F44" s="203" t="s">
        <v>54</v>
      </c>
      <c r="G44" s="203" t="s">
        <v>322</v>
      </c>
      <c r="H44" s="203" t="s">
        <v>323</v>
      </c>
      <c r="I44" s="203" t="s">
        <v>324</v>
      </c>
      <c r="J44" s="203" t="s">
        <v>325</v>
      </c>
      <c r="K44" s="203" t="s">
        <v>326</v>
      </c>
      <c r="L44" s="203" t="s">
        <v>327</v>
      </c>
      <c r="M44" s="203" t="s">
        <v>328</v>
      </c>
      <c r="N44" s="203" t="s">
        <v>329</v>
      </c>
    </row>
    <row r="45" spans="1:14" x14ac:dyDescent="0.25">
      <c r="A45" s="197" t="s">
        <v>334</v>
      </c>
    </row>
    <row r="46" spans="1:14" x14ac:dyDescent="0.25">
      <c r="A46" s="197" t="s">
        <v>335</v>
      </c>
    </row>
    <row r="47" spans="1:14" x14ac:dyDescent="0.25">
      <c r="A47" s="197" t="s">
        <v>336</v>
      </c>
    </row>
    <row r="48" spans="1:14" x14ac:dyDescent="0.25">
      <c r="A48" s="197" t="s">
        <v>337</v>
      </c>
    </row>
    <row r="49" spans="1:14" ht="30" x14ac:dyDescent="0.25">
      <c r="A49" s="197" t="s">
        <v>338</v>
      </c>
    </row>
    <row r="50" spans="1:14" ht="30" x14ac:dyDescent="0.25">
      <c r="A50" s="204" t="s">
        <v>339</v>
      </c>
    </row>
    <row r="54" spans="1:14" x14ac:dyDescent="0.25">
      <c r="A54" s="203" t="s">
        <v>314</v>
      </c>
      <c r="B54" s="203" t="s">
        <v>318</v>
      </c>
      <c r="C54" s="203" t="s">
        <v>319</v>
      </c>
      <c r="D54" s="203" t="s">
        <v>320</v>
      </c>
      <c r="E54" s="203" t="s">
        <v>321</v>
      </c>
      <c r="F54" s="203" t="s">
        <v>54</v>
      </c>
      <c r="G54" s="203" t="s">
        <v>322</v>
      </c>
      <c r="H54" s="203" t="s">
        <v>323</v>
      </c>
      <c r="I54" s="203" t="s">
        <v>324</v>
      </c>
      <c r="J54" s="203" t="s">
        <v>325</v>
      </c>
      <c r="K54" s="203" t="s">
        <v>326</v>
      </c>
      <c r="L54" s="203" t="s">
        <v>327</v>
      </c>
      <c r="M54" s="203" t="s">
        <v>328</v>
      </c>
      <c r="N54" s="203" t="s">
        <v>329</v>
      </c>
    </row>
    <row r="55" spans="1:14" x14ac:dyDescent="0.25">
      <c r="A55" s="204" t="s">
        <v>340</v>
      </c>
    </row>
    <row r="56" spans="1:14" x14ac:dyDescent="0.25">
      <c r="A56" s="197" t="s">
        <v>106</v>
      </c>
    </row>
    <row r="57" spans="1:14" x14ac:dyDescent="0.25">
      <c r="A57" s="197" t="s">
        <v>341</v>
      </c>
    </row>
    <row r="58" spans="1:14" x14ac:dyDescent="0.25">
      <c r="A58" s="197" t="s">
        <v>342</v>
      </c>
    </row>
    <row r="59" spans="1:14" x14ac:dyDescent="0.25">
      <c r="A59" s="204" t="s">
        <v>343</v>
      </c>
    </row>
    <row r="60" spans="1:14" ht="30" x14ac:dyDescent="0.25">
      <c r="A60" s="197" t="s">
        <v>344</v>
      </c>
    </row>
    <row r="61" spans="1:14" ht="30" x14ac:dyDescent="0.25">
      <c r="A61" s="197" t="s">
        <v>345</v>
      </c>
    </row>
    <row r="62" spans="1:14" ht="30" x14ac:dyDescent="0.25">
      <c r="A62" s="197" t="s">
        <v>346</v>
      </c>
    </row>
    <row r="66" spans="1:14" x14ac:dyDescent="0.25">
      <c r="A66" s="203" t="s">
        <v>314</v>
      </c>
      <c r="B66" s="203" t="s">
        <v>318</v>
      </c>
      <c r="C66" s="203" t="s">
        <v>319</v>
      </c>
      <c r="D66" s="203" t="s">
        <v>320</v>
      </c>
      <c r="E66" s="203" t="s">
        <v>321</v>
      </c>
      <c r="F66" s="203" t="s">
        <v>54</v>
      </c>
      <c r="G66" s="203" t="s">
        <v>322</v>
      </c>
      <c r="H66" s="203" t="s">
        <v>323</v>
      </c>
      <c r="I66" s="203" t="s">
        <v>324</v>
      </c>
      <c r="J66" s="203" t="s">
        <v>325</v>
      </c>
      <c r="K66" s="203" t="s">
        <v>326</v>
      </c>
      <c r="L66" s="203" t="s">
        <v>327</v>
      </c>
      <c r="M66" s="203" t="s">
        <v>328</v>
      </c>
      <c r="N66" s="203" t="s">
        <v>329</v>
      </c>
    </row>
    <row r="67" spans="1:14" x14ac:dyDescent="0.25">
      <c r="A67" s="197" t="s">
        <v>347</v>
      </c>
    </row>
    <row r="68" spans="1:14" x14ac:dyDescent="0.25">
      <c r="A68" s="197" t="s">
        <v>348</v>
      </c>
    </row>
    <row r="69" spans="1:14" x14ac:dyDescent="0.25">
      <c r="A69" s="204" t="s">
        <v>349</v>
      </c>
    </row>
    <row r="70" spans="1:14" x14ac:dyDescent="0.25">
      <c r="A70" s="197" t="s">
        <v>350</v>
      </c>
    </row>
    <row r="71" spans="1:14" x14ac:dyDescent="0.25">
      <c r="A71" s="197" t="s">
        <v>351</v>
      </c>
    </row>
    <row r="72" spans="1:14" ht="30" x14ac:dyDescent="0.25">
      <c r="A72" s="197" t="s">
        <v>352</v>
      </c>
    </row>
    <row r="76" spans="1:14" x14ac:dyDescent="0.25">
      <c r="A76" s="203" t="s">
        <v>314</v>
      </c>
      <c r="B76" s="203" t="s">
        <v>318</v>
      </c>
      <c r="C76" s="203" t="s">
        <v>319</v>
      </c>
      <c r="D76" s="203" t="s">
        <v>320</v>
      </c>
      <c r="E76" s="203" t="s">
        <v>321</v>
      </c>
      <c r="F76" s="203" t="s">
        <v>54</v>
      </c>
      <c r="G76" s="203" t="s">
        <v>322</v>
      </c>
      <c r="H76" s="203" t="s">
        <v>323</v>
      </c>
      <c r="I76" s="203" t="s">
        <v>324</v>
      </c>
      <c r="J76" s="203" t="s">
        <v>325</v>
      </c>
      <c r="K76" s="203" t="s">
        <v>326</v>
      </c>
      <c r="L76" s="203" t="s">
        <v>327</v>
      </c>
      <c r="M76" s="203" t="s">
        <v>328</v>
      </c>
      <c r="N76" s="203" t="s">
        <v>329</v>
      </c>
    </row>
    <row r="77" spans="1:14" x14ac:dyDescent="0.25">
      <c r="A77" s="197" t="s">
        <v>68</v>
      </c>
    </row>
    <row r="78" spans="1:14" x14ac:dyDescent="0.25">
      <c r="A78" s="197" t="s">
        <v>353</v>
      </c>
    </row>
    <row r="79" spans="1:14" ht="30" x14ac:dyDescent="0.25">
      <c r="A79" s="197" t="s">
        <v>354</v>
      </c>
    </row>
    <row r="80" spans="1:14" x14ac:dyDescent="0.25">
      <c r="A80" s="197" t="s">
        <v>355</v>
      </c>
    </row>
    <row r="81" spans="1:14" ht="30" x14ac:dyDescent="0.25">
      <c r="A81" s="197" t="s">
        <v>356</v>
      </c>
    </row>
    <row r="85" spans="1:14" x14ac:dyDescent="0.25">
      <c r="A85" s="203" t="s">
        <v>314</v>
      </c>
      <c r="B85" s="203" t="s">
        <v>318</v>
      </c>
      <c r="C85" s="203" t="s">
        <v>319</v>
      </c>
      <c r="D85" s="203" t="s">
        <v>320</v>
      </c>
      <c r="E85" s="203" t="s">
        <v>321</v>
      </c>
      <c r="F85" s="203" t="s">
        <v>54</v>
      </c>
      <c r="G85" s="203" t="s">
        <v>322</v>
      </c>
      <c r="H85" s="203" t="s">
        <v>323</v>
      </c>
      <c r="I85" s="203" t="s">
        <v>324</v>
      </c>
      <c r="J85" s="203" t="s">
        <v>325</v>
      </c>
      <c r="K85" s="203" t="s">
        <v>326</v>
      </c>
      <c r="L85" s="203" t="s">
        <v>327</v>
      </c>
      <c r="M85" s="203" t="s">
        <v>328</v>
      </c>
      <c r="N85" s="203" t="s">
        <v>329</v>
      </c>
    </row>
    <row r="86" spans="1:14" x14ac:dyDescent="0.25">
      <c r="A86" s="197" t="s">
        <v>357</v>
      </c>
    </row>
    <row r="87" spans="1:14" x14ac:dyDescent="0.25">
      <c r="A87" s="197" t="s">
        <v>358</v>
      </c>
    </row>
    <row r="88" spans="1:14" x14ac:dyDescent="0.25">
      <c r="A88" s="204" t="s">
        <v>359</v>
      </c>
    </row>
    <row r="89" spans="1:14" x14ac:dyDescent="0.25">
      <c r="A89" s="204" t="s">
        <v>360</v>
      </c>
    </row>
    <row r="90" spans="1:14" x14ac:dyDescent="0.25">
      <c r="A90" s="197" t="s">
        <v>361</v>
      </c>
    </row>
    <row r="96" spans="1:14" x14ac:dyDescent="0.25">
      <c r="A96" s="261" t="s">
        <v>48</v>
      </c>
      <c r="B96" s="262"/>
      <c r="C96" s="262"/>
      <c r="D96" s="262"/>
      <c r="E96" s="262"/>
      <c r="F96" s="262"/>
      <c r="G96" s="262"/>
      <c r="H96" s="262"/>
      <c r="I96" s="262"/>
      <c r="J96" s="262"/>
      <c r="K96" s="262"/>
      <c r="L96" s="262"/>
      <c r="M96" s="262"/>
      <c r="N96" s="262"/>
    </row>
    <row r="97" spans="1:14" x14ac:dyDescent="0.25">
      <c r="A97" s="203" t="s">
        <v>314</v>
      </c>
      <c r="B97" s="203" t="s">
        <v>318</v>
      </c>
      <c r="C97" s="203" t="s">
        <v>319</v>
      </c>
      <c r="D97" s="203" t="s">
        <v>320</v>
      </c>
      <c r="E97" s="203" t="s">
        <v>321</v>
      </c>
      <c r="F97" s="203" t="s">
        <v>54</v>
      </c>
      <c r="G97" s="203" t="s">
        <v>322</v>
      </c>
      <c r="H97" s="203" t="s">
        <v>323</v>
      </c>
      <c r="I97" s="203" t="s">
        <v>324</v>
      </c>
      <c r="J97" s="203" t="s">
        <v>325</v>
      </c>
      <c r="K97" s="203" t="s">
        <v>326</v>
      </c>
      <c r="L97" s="203" t="s">
        <v>327</v>
      </c>
      <c r="M97" s="203" t="s">
        <v>328</v>
      </c>
      <c r="N97" s="203" t="s">
        <v>329</v>
      </c>
    </row>
    <row r="98" spans="1:14" x14ac:dyDescent="0.25">
      <c r="A98" s="197" t="s">
        <v>315</v>
      </c>
    </row>
    <row r="99" spans="1:14" x14ac:dyDescent="0.25">
      <c r="A99" s="197" t="s">
        <v>68</v>
      </c>
    </row>
    <row r="100" spans="1:14" x14ac:dyDescent="0.25">
      <c r="A100" s="197" t="s">
        <v>316</v>
      </c>
    </row>
    <row r="101" spans="1:14" x14ac:dyDescent="0.25">
      <c r="A101" s="197" t="s">
        <v>317</v>
      </c>
    </row>
    <row r="106" spans="1:14" x14ac:dyDescent="0.25">
      <c r="A106" s="203" t="s">
        <v>314</v>
      </c>
      <c r="B106" s="203" t="s">
        <v>318</v>
      </c>
      <c r="C106" s="203" t="s">
        <v>319</v>
      </c>
      <c r="D106" s="203" t="s">
        <v>320</v>
      </c>
      <c r="E106" s="203" t="s">
        <v>321</v>
      </c>
      <c r="F106" s="203" t="s">
        <v>54</v>
      </c>
      <c r="G106" s="203" t="s">
        <v>322</v>
      </c>
      <c r="H106" s="203" t="s">
        <v>323</v>
      </c>
      <c r="I106" s="203" t="s">
        <v>324</v>
      </c>
      <c r="J106" s="203" t="s">
        <v>325</v>
      </c>
      <c r="K106" s="203" t="s">
        <v>326</v>
      </c>
      <c r="L106" s="203" t="s">
        <v>327</v>
      </c>
      <c r="M106" s="203" t="s">
        <v>328</v>
      </c>
      <c r="N106" s="203" t="s">
        <v>329</v>
      </c>
    </row>
    <row r="107" spans="1:14" ht="30" x14ac:dyDescent="0.25">
      <c r="A107" s="197" t="s">
        <v>330</v>
      </c>
    </row>
    <row r="108" spans="1:14" x14ac:dyDescent="0.25">
      <c r="A108" s="197" t="s">
        <v>331</v>
      </c>
    </row>
    <row r="109" spans="1:14" x14ac:dyDescent="0.25">
      <c r="A109" s="197" t="s">
        <v>332</v>
      </c>
    </row>
    <row r="110" spans="1:14" ht="30" x14ac:dyDescent="0.25">
      <c r="A110" s="197" t="s">
        <v>333</v>
      </c>
    </row>
    <row r="114" spans="1:14" x14ac:dyDescent="0.25">
      <c r="A114" s="203" t="s">
        <v>314</v>
      </c>
      <c r="B114" s="203" t="s">
        <v>318</v>
      </c>
      <c r="C114" s="203" t="s">
        <v>319</v>
      </c>
      <c r="D114" s="203" t="s">
        <v>320</v>
      </c>
      <c r="E114" s="203" t="s">
        <v>321</v>
      </c>
      <c r="F114" s="203" t="s">
        <v>54</v>
      </c>
      <c r="G114" s="203" t="s">
        <v>322</v>
      </c>
      <c r="H114" s="203" t="s">
        <v>323</v>
      </c>
      <c r="I114" s="203" t="s">
        <v>324</v>
      </c>
      <c r="J114" s="203" t="s">
        <v>325</v>
      </c>
      <c r="K114" s="203" t="s">
        <v>326</v>
      </c>
      <c r="L114" s="203" t="s">
        <v>327</v>
      </c>
      <c r="M114" s="203" t="s">
        <v>328</v>
      </c>
      <c r="N114" s="203" t="s">
        <v>329</v>
      </c>
    </row>
    <row r="115" spans="1:14" x14ac:dyDescent="0.25">
      <c r="A115" s="197" t="s">
        <v>334</v>
      </c>
    </row>
    <row r="116" spans="1:14" x14ac:dyDescent="0.25">
      <c r="A116" s="197" t="s">
        <v>335</v>
      </c>
    </row>
    <row r="117" spans="1:14" x14ac:dyDescent="0.25">
      <c r="A117" s="197" t="s">
        <v>336</v>
      </c>
    </row>
    <row r="118" spans="1:14" x14ac:dyDescent="0.25">
      <c r="A118" s="197" t="s">
        <v>337</v>
      </c>
    </row>
    <row r="119" spans="1:14" ht="30" x14ac:dyDescent="0.25">
      <c r="A119" s="197" t="s">
        <v>338</v>
      </c>
    </row>
    <row r="120" spans="1:14" ht="30" x14ac:dyDescent="0.25">
      <c r="A120" s="204" t="s">
        <v>339</v>
      </c>
    </row>
    <row r="124" spans="1:14" x14ac:dyDescent="0.25">
      <c r="A124" s="203" t="s">
        <v>314</v>
      </c>
      <c r="B124" s="203" t="s">
        <v>318</v>
      </c>
      <c r="C124" s="203" t="s">
        <v>319</v>
      </c>
      <c r="D124" s="203" t="s">
        <v>320</v>
      </c>
      <c r="E124" s="203" t="s">
        <v>321</v>
      </c>
      <c r="F124" s="203" t="s">
        <v>54</v>
      </c>
      <c r="G124" s="203" t="s">
        <v>322</v>
      </c>
      <c r="H124" s="203" t="s">
        <v>323</v>
      </c>
      <c r="I124" s="203" t="s">
        <v>324</v>
      </c>
      <c r="J124" s="203" t="s">
        <v>325</v>
      </c>
      <c r="K124" s="203" t="s">
        <v>326</v>
      </c>
      <c r="L124" s="203" t="s">
        <v>327</v>
      </c>
      <c r="M124" s="203" t="s">
        <v>328</v>
      </c>
      <c r="N124" s="203" t="s">
        <v>329</v>
      </c>
    </row>
    <row r="125" spans="1:14" x14ac:dyDescent="0.25">
      <c r="A125" s="204" t="s">
        <v>340</v>
      </c>
    </row>
    <row r="126" spans="1:14" x14ac:dyDescent="0.25">
      <c r="A126" s="197" t="s">
        <v>106</v>
      </c>
    </row>
    <row r="127" spans="1:14" x14ac:dyDescent="0.25">
      <c r="A127" s="197" t="s">
        <v>341</v>
      </c>
    </row>
    <row r="128" spans="1:14" x14ac:dyDescent="0.25">
      <c r="A128" s="197" t="s">
        <v>342</v>
      </c>
    </row>
    <row r="129" spans="1:14" x14ac:dyDescent="0.25">
      <c r="A129" s="204" t="s">
        <v>343</v>
      </c>
    </row>
    <row r="130" spans="1:14" ht="30" x14ac:dyDescent="0.25">
      <c r="A130" s="197" t="s">
        <v>344</v>
      </c>
    </row>
    <row r="131" spans="1:14" ht="30" x14ac:dyDescent="0.25">
      <c r="A131" s="197" t="s">
        <v>345</v>
      </c>
    </row>
    <row r="132" spans="1:14" ht="30" x14ac:dyDescent="0.25">
      <c r="A132" s="197" t="s">
        <v>346</v>
      </c>
    </row>
    <row r="136" spans="1:14" x14ac:dyDescent="0.25">
      <c r="A136" s="203" t="s">
        <v>314</v>
      </c>
      <c r="B136" s="203" t="s">
        <v>318</v>
      </c>
      <c r="C136" s="203" t="s">
        <v>319</v>
      </c>
      <c r="D136" s="203" t="s">
        <v>320</v>
      </c>
      <c r="E136" s="203" t="s">
        <v>321</v>
      </c>
      <c r="F136" s="203" t="s">
        <v>54</v>
      </c>
      <c r="G136" s="203" t="s">
        <v>322</v>
      </c>
      <c r="H136" s="203" t="s">
        <v>323</v>
      </c>
      <c r="I136" s="203" t="s">
        <v>324</v>
      </c>
      <c r="J136" s="203" t="s">
        <v>325</v>
      </c>
      <c r="K136" s="203" t="s">
        <v>326</v>
      </c>
      <c r="L136" s="203" t="s">
        <v>327</v>
      </c>
      <c r="M136" s="203" t="s">
        <v>328</v>
      </c>
      <c r="N136" s="203" t="s">
        <v>329</v>
      </c>
    </row>
    <row r="137" spans="1:14" x14ac:dyDescent="0.25">
      <c r="A137" s="197" t="s">
        <v>347</v>
      </c>
    </row>
    <row r="138" spans="1:14" x14ac:dyDescent="0.25">
      <c r="A138" s="197" t="s">
        <v>348</v>
      </c>
    </row>
    <row r="139" spans="1:14" x14ac:dyDescent="0.25">
      <c r="A139" s="204" t="s">
        <v>349</v>
      </c>
    </row>
    <row r="140" spans="1:14" x14ac:dyDescent="0.25">
      <c r="A140" s="197" t="s">
        <v>350</v>
      </c>
    </row>
    <row r="141" spans="1:14" x14ac:dyDescent="0.25">
      <c r="A141" s="197" t="s">
        <v>351</v>
      </c>
    </row>
    <row r="142" spans="1:14" ht="30" x14ac:dyDescent="0.25">
      <c r="A142" s="197" t="s">
        <v>352</v>
      </c>
    </row>
    <row r="146" spans="1:14" x14ac:dyDescent="0.25">
      <c r="A146" s="203" t="s">
        <v>314</v>
      </c>
      <c r="B146" s="203" t="s">
        <v>318</v>
      </c>
      <c r="C146" s="203" t="s">
        <v>319</v>
      </c>
      <c r="D146" s="203" t="s">
        <v>320</v>
      </c>
      <c r="E146" s="203" t="s">
        <v>321</v>
      </c>
      <c r="F146" s="203" t="s">
        <v>54</v>
      </c>
      <c r="G146" s="203" t="s">
        <v>322</v>
      </c>
      <c r="H146" s="203" t="s">
        <v>323</v>
      </c>
      <c r="I146" s="203" t="s">
        <v>324</v>
      </c>
      <c r="J146" s="203" t="s">
        <v>325</v>
      </c>
      <c r="K146" s="203" t="s">
        <v>326</v>
      </c>
      <c r="L146" s="203" t="s">
        <v>327</v>
      </c>
      <c r="M146" s="203" t="s">
        <v>328</v>
      </c>
      <c r="N146" s="203" t="s">
        <v>329</v>
      </c>
    </row>
    <row r="147" spans="1:14" x14ac:dyDescent="0.25">
      <c r="A147" s="197" t="s">
        <v>68</v>
      </c>
    </row>
    <row r="148" spans="1:14" x14ac:dyDescent="0.25">
      <c r="A148" s="197" t="s">
        <v>353</v>
      </c>
    </row>
    <row r="149" spans="1:14" ht="30" x14ac:dyDescent="0.25">
      <c r="A149" s="197" t="s">
        <v>354</v>
      </c>
    </row>
    <row r="150" spans="1:14" x14ac:dyDescent="0.25">
      <c r="A150" s="197" t="s">
        <v>355</v>
      </c>
    </row>
    <row r="151" spans="1:14" ht="30" x14ac:dyDescent="0.25">
      <c r="A151" s="197" t="s">
        <v>356</v>
      </c>
    </row>
    <row r="155" spans="1:14" x14ac:dyDescent="0.25">
      <c r="A155" s="203" t="s">
        <v>314</v>
      </c>
      <c r="B155" s="203" t="s">
        <v>318</v>
      </c>
      <c r="C155" s="203" t="s">
        <v>319</v>
      </c>
      <c r="D155" s="203" t="s">
        <v>320</v>
      </c>
      <c r="E155" s="203" t="s">
        <v>321</v>
      </c>
      <c r="F155" s="203" t="s">
        <v>54</v>
      </c>
      <c r="G155" s="203" t="s">
        <v>322</v>
      </c>
      <c r="H155" s="203" t="s">
        <v>323</v>
      </c>
      <c r="I155" s="203" t="s">
        <v>324</v>
      </c>
      <c r="J155" s="203" t="s">
        <v>325</v>
      </c>
      <c r="K155" s="203" t="s">
        <v>326</v>
      </c>
      <c r="L155" s="203" t="s">
        <v>327</v>
      </c>
      <c r="M155" s="203" t="s">
        <v>328</v>
      </c>
      <c r="N155" s="203" t="s">
        <v>329</v>
      </c>
    </row>
    <row r="156" spans="1:14" x14ac:dyDescent="0.25">
      <c r="A156" s="197" t="s">
        <v>357</v>
      </c>
    </row>
    <row r="157" spans="1:14" x14ac:dyDescent="0.25">
      <c r="A157" s="197" t="s">
        <v>358</v>
      </c>
    </row>
    <row r="158" spans="1:14" x14ac:dyDescent="0.25">
      <c r="A158" s="204" t="s">
        <v>359</v>
      </c>
    </row>
    <row r="159" spans="1:14" x14ac:dyDescent="0.25">
      <c r="A159" s="204" t="s">
        <v>360</v>
      </c>
    </row>
    <row r="160" spans="1:14" x14ac:dyDescent="0.25">
      <c r="A160" s="197" t="s">
        <v>361</v>
      </c>
    </row>
    <row r="167" spans="1:14" x14ac:dyDescent="0.25">
      <c r="A167" s="261" t="s">
        <v>136</v>
      </c>
      <c r="B167" s="262"/>
      <c r="C167" s="262"/>
      <c r="D167" s="262"/>
      <c r="E167" s="262"/>
      <c r="F167" s="262"/>
      <c r="G167" s="262"/>
      <c r="H167" s="262"/>
      <c r="I167" s="262"/>
      <c r="J167" s="262"/>
      <c r="K167" s="262"/>
      <c r="L167" s="262"/>
      <c r="M167" s="262"/>
      <c r="N167" s="262"/>
    </row>
    <row r="168" spans="1:14" x14ac:dyDescent="0.25">
      <c r="A168" s="203" t="s">
        <v>314</v>
      </c>
      <c r="B168" s="203" t="s">
        <v>318</v>
      </c>
      <c r="C168" s="203" t="s">
        <v>319</v>
      </c>
      <c r="D168" s="203" t="s">
        <v>320</v>
      </c>
      <c r="E168" s="203" t="s">
        <v>321</v>
      </c>
      <c r="F168" s="203" t="s">
        <v>54</v>
      </c>
      <c r="G168" s="203" t="s">
        <v>322</v>
      </c>
      <c r="H168" s="203" t="s">
        <v>323</v>
      </c>
      <c r="I168" s="203" t="s">
        <v>324</v>
      </c>
      <c r="J168" s="203" t="s">
        <v>325</v>
      </c>
      <c r="K168" s="203" t="s">
        <v>326</v>
      </c>
      <c r="L168" s="203" t="s">
        <v>327</v>
      </c>
      <c r="M168" s="203" t="s">
        <v>328</v>
      </c>
      <c r="N168" s="203" t="s">
        <v>329</v>
      </c>
    </row>
    <row r="169" spans="1:14" x14ac:dyDescent="0.25">
      <c r="A169" s="197" t="s">
        <v>315</v>
      </c>
    </row>
    <row r="170" spans="1:14" x14ac:dyDescent="0.25">
      <c r="A170" s="197" t="s">
        <v>68</v>
      </c>
    </row>
    <row r="171" spans="1:14" x14ac:dyDescent="0.25">
      <c r="A171" s="197" t="s">
        <v>316</v>
      </c>
    </row>
    <row r="172" spans="1:14" x14ac:dyDescent="0.25">
      <c r="A172" s="197" t="s">
        <v>317</v>
      </c>
    </row>
    <row r="177" spans="1:14" x14ac:dyDescent="0.25">
      <c r="A177" s="203" t="s">
        <v>314</v>
      </c>
      <c r="B177" s="203" t="s">
        <v>318</v>
      </c>
      <c r="C177" s="203" t="s">
        <v>319</v>
      </c>
      <c r="D177" s="203" t="s">
        <v>320</v>
      </c>
      <c r="E177" s="203" t="s">
        <v>321</v>
      </c>
      <c r="F177" s="203" t="s">
        <v>54</v>
      </c>
      <c r="G177" s="203" t="s">
        <v>322</v>
      </c>
      <c r="H177" s="203" t="s">
        <v>323</v>
      </c>
      <c r="I177" s="203" t="s">
        <v>324</v>
      </c>
      <c r="J177" s="203" t="s">
        <v>325</v>
      </c>
      <c r="K177" s="203" t="s">
        <v>326</v>
      </c>
      <c r="L177" s="203" t="s">
        <v>327</v>
      </c>
      <c r="M177" s="203" t="s">
        <v>328</v>
      </c>
      <c r="N177" s="203" t="s">
        <v>329</v>
      </c>
    </row>
    <row r="178" spans="1:14" ht="30" x14ac:dyDescent="0.25">
      <c r="A178" s="197" t="s">
        <v>330</v>
      </c>
    </row>
    <row r="179" spans="1:14" x14ac:dyDescent="0.25">
      <c r="A179" s="197" t="s">
        <v>331</v>
      </c>
    </row>
    <row r="180" spans="1:14" x14ac:dyDescent="0.25">
      <c r="A180" s="197" t="s">
        <v>332</v>
      </c>
    </row>
    <row r="181" spans="1:14" ht="30" x14ac:dyDescent="0.25">
      <c r="A181" s="197" t="s">
        <v>333</v>
      </c>
    </row>
    <row r="185" spans="1:14" x14ac:dyDescent="0.25">
      <c r="A185" s="203" t="s">
        <v>314</v>
      </c>
      <c r="B185" s="203" t="s">
        <v>318</v>
      </c>
      <c r="C185" s="203" t="s">
        <v>319</v>
      </c>
      <c r="D185" s="203" t="s">
        <v>320</v>
      </c>
      <c r="E185" s="203" t="s">
        <v>321</v>
      </c>
      <c r="F185" s="203" t="s">
        <v>54</v>
      </c>
      <c r="G185" s="203" t="s">
        <v>322</v>
      </c>
      <c r="H185" s="203" t="s">
        <v>323</v>
      </c>
      <c r="I185" s="203" t="s">
        <v>324</v>
      </c>
      <c r="J185" s="203" t="s">
        <v>325</v>
      </c>
      <c r="K185" s="203" t="s">
        <v>326</v>
      </c>
      <c r="L185" s="203" t="s">
        <v>327</v>
      </c>
      <c r="M185" s="203" t="s">
        <v>328</v>
      </c>
      <c r="N185" s="203" t="s">
        <v>329</v>
      </c>
    </row>
    <row r="186" spans="1:14" x14ac:dyDescent="0.25">
      <c r="A186" s="197" t="s">
        <v>334</v>
      </c>
    </row>
    <row r="187" spans="1:14" x14ac:dyDescent="0.25">
      <c r="A187" s="197" t="s">
        <v>335</v>
      </c>
    </row>
    <row r="188" spans="1:14" x14ac:dyDescent="0.25">
      <c r="A188" s="197" t="s">
        <v>336</v>
      </c>
    </row>
    <row r="189" spans="1:14" x14ac:dyDescent="0.25">
      <c r="A189" s="197" t="s">
        <v>337</v>
      </c>
    </row>
    <row r="190" spans="1:14" ht="30" x14ac:dyDescent="0.25">
      <c r="A190" s="197" t="s">
        <v>338</v>
      </c>
    </row>
    <row r="191" spans="1:14" ht="30" x14ac:dyDescent="0.25">
      <c r="A191" s="204" t="s">
        <v>339</v>
      </c>
    </row>
    <row r="195" spans="1:14" x14ac:dyDescent="0.25">
      <c r="A195" s="203" t="s">
        <v>314</v>
      </c>
      <c r="B195" s="203" t="s">
        <v>318</v>
      </c>
      <c r="C195" s="203" t="s">
        <v>319</v>
      </c>
      <c r="D195" s="203" t="s">
        <v>320</v>
      </c>
      <c r="E195" s="203" t="s">
        <v>321</v>
      </c>
      <c r="F195" s="203" t="s">
        <v>54</v>
      </c>
      <c r="G195" s="203" t="s">
        <v>322</v>
      </c>
      <c r="H195" s="203" t="s">
        <v>323</v>
      </c>
      <c r="I195" s="203" t="s">
        <v>324</v>
      </c>
      <c r="J195" s="203" t="s">
        <v>325</v>
      </c>
      <c r="K195" s="203" t="s">
        <v>326</v>
      </c>
      <c r="L195" s="203" t="s">
        <v>327</v>
      </c>
      <c r="M195" s="203" t="s">
        <v>328</v>
      </c>
      <c r="N195" s="203" t="s">
        <v>329</v>
      </c>
    </row>
    <row r="196" spans="1:14" x14ac:dyDescent="0.25">
      <c r="A196" s="204" t="s">
        <v>340</v>
      </c>
    </row>
    <row r="197" spans="1:14" x14ac:dyDescent="0.25">
      <c r="A197" s="197" t="s">
        <v>106</v>
      </c>
    </row>
    <row r="198" spans="1:14" x14ac:dyDescent="0.25">
      <c r="A198" s="197" t="s">
        <v>341</v>
      </c>
    </row>
    <row r="199" spans="1:14" x14ac:dyDescent="0.25">
      <c r="A199" s="197" t="s">
        <v>342</v>
      </c>
    </row>
    <row r="200" spans="1:14" x14ac:dyDescent="0.25">
      <c r="A200" s="204" t="s">
        <v>343</v>
      </c>
    </row>
    <row r="201" spans="1:14" ht="30" x14ac:dyDescent="0.25">
      <c r="A201" s="197" t="s">
        <v>344</v>
      </c>
    </row>
    <row r="202" spans="1:14" ht="30" x14ac:dyDescent="0.25">
      <c r="A202" s="197" t="s">
        <v>345</v>
      </c>
    </row>
    <row r="203" spans="1:14" ht="30" x14ac:dyDescent="0.25">
      <c r="A203" s="197" t="s">
        <v>346</v>
      </c>
    </row>
    <row r="207" spans="1:14" x14ac:dyDescent="0.25">
      <c r="A207" s="203" t="s">
        <v>314</v>
      </c>
      <c r="B207" s="203" t="s">
        <v>318</v>
      </c>
      <c r="C207" s="203" t="s">
        <v>319</v>
      </c>
      <c r="D207" s="203" t="s">
        <v>320</v>
      </c>
      <c r="E207" s="203" t="s">
        <v>321</v>
      </c>
      <c r="F207" s="203" t="s">
        <v>54</v>
      </c>
      <c r="G207" s="203" t="s">
        <v>322</v>
      </c>
      <c r="H207" s="203" t="s">
        <v>323</v>
      </c>
      <c r="I207" s="203" t="s">
        <v>324</v>
      </c>
      <c r="J207" s="203" t="s">
        <v>325</v>
      </c>
      <c r="K207" s="203" t="s">
        <v>326</v>
      </c>
      <c r="L207" s="203" t="s">
        <v>327</v>
      </c>
      <c r="M207" s="203" t="s">
        <v>328</v>
      </c>
      <c r="N207" s="203" t="s">
        <v>329</v>
      </c>
    </row>
    <row r="208" spans="1:14" x14ac:dyDescent="0.25">
      <c r="A208" s="197" t="s">
        <v>347</v>
      </c>
    </row>
    <row r="209" spans="1:14" x14ac:dyDescent="0.25">
      <c r="A209" s="197" t="s">
        <v>348</v>
      </c>
    </row>
    <row r="210" spans="1:14" x14ac:dyDescent="0.25">
      <c r="A210" s="204" t="s">
        <v>349</v>
      </c>
    </row>
    <row r="211" spans="1:14" x14ac:dyDescent="0.25">
      <c r="A211" s="197" t="s">
        <v>350</v>
      </c>
    </row>
    <row r="212" spans="1:14" x14ac:dyDescent="0.25">
      <c r="A212" s="197" t="s">
        <v>351</v>
      </c>
    </row>
    <row r="213" spans="1:14" ht="30" x14ac:dyDescent="0.25">
      <c r="A213" s="197" t="s">
        <v>352</v>
      </c>
    </row>
    <row r="217" spans="1:14" x14ac:dyDescent="0.25">
      <c r="A217" s="203" t="s">
        <v>314</v>
      </c>
      <c r="B217" s="203" t="s">
        <v>318</v>
      </c>
      <c r="C217" s="203" t="s">
        <v>319</v>
      </c>
      <c r="D217" s="203" t="s">
        <v>320</v>
      </c>
      <c r="E217" s="203" t="s">
        <v>321</v>
      </c>
      <c r="F217" s="203" t="s">
        <v>54</v>
      </c>
      <c r="G217" s="203" t="s">
        <v>322</v>
      </c>
      <c r="H217" s="203" t="s">
        <v>323</v>
      </c>
      <c r="I217" s="203" t="s">
        <v>324</v>
      </c>
      <c r="J217" s="203" t="s">
        <v>325</v>
      </c>
      <c r="K217" s="203" t="s">
        <v>326</v>
      </c>
      <c r="L217" s="203" t="s">
        <v>327</v>
      </c>
      <c r="M217" s="203" t="s">
        <v>328</v>
      </c>
      <c r="N217" s="203" t="s">
        <v>329</v>
      </c>
    </row>
    <row r="218" spans="1:14" x14ac:dyDescent="0.25">
      <c r="A218" s="197" t="s">
        <v>68</v>
      </c>
    </row>
    <row r="219" spans="1:14" x14ac:dyDescent="0.25">
      <c r="A219" s="197" t="s">
        <v>353</v>
      </c>
    </row>
    <row r="220" spans="1:14" ht="30" x14ac:dyDescent="0.25">
      <c r="A220" s="197" t="s">
        <v>354</v>
      </c>
    </row>
    <row r="221" spans="1:14" x14ac:dyDescent="0.25">
      <c r="A221" s="197" t="s">
        <v>355</v>
      </c>
    </row>
    <row r="222" spans="1:14" ht="30" x14ac:dyDescent="0.25">
      <c r="A222" s="197" t="s">
        <v>356</v>
      </c>
    </row>
    <row r="226" spans="1:14" x14ac:dyDescent="0.25">
      <c r="A226" s="203" t="s">
        <v>314</v>
      </c>
      <c r="B226" s="203" t="s">
        <v>318</v>
      </c>
      <c r="C226" s="203" t="s">
        <v>319</v>
      </c>
      <c r="D226" s="203" t="s">
        <v>320</v>
      </c>
      <c r="E226" s="203" t="s">
        <v>321</v>
      </c>
      <c r="F226" s="203" t="s">
        <v>54</v>
      </c>
      <c r="G226" s="203" t="s">
        <v>322</v>
      </c>
      <c r="H226" s="203" t="s">
        <v>323</v>
      </c>
      <c r="I226" s="203" t="s">
        <v>324</v>
      </c>
      <c r="J226" s="203" t="s">
        <v>325</v>
      </c>
      <c r="K226" s="203" t="s">
        <v>326</v>
      </c>
      <c r="L226" s="203" t="s">
        <v>327</v>
      </c>
      <c r="M226" s="203" t="s">
        <v>328</v>
      </c>
      <c r="N226" s="203" t="s">
        <v>329</v>
      </c>
    </row>
    <row r="227" spans="1:14" x14ac:dyDescent="0.25">
      <c r="A227" s="197" t="s">
        <v>357</v>
      </c>
    </row>
    <row r="228" spans="1:14" x14ac:dyDescent="0.25">
      <c r="A228" s="197" t="s">
        <v>358</v>
      </c>
    </row>
    <row r="229" spans="1:14" x14ac:dyDescent="0.25">
      <c r="A229" s="204" t="s">
        <v>359</v>
      </c>
    </row>
    <row r="230" spans="1:14" x14ac:dyDescent="0.25">
      <c r="A230" s="204" t="s">
        <v>360</v>
      </c>
    </row>
    <row r="231" spans="1:14" x14ac:dyDescent="0.25">
      <c r="A231" s="197" t="s">
        <v>361</v>
      </c>
    </row>
    <row r="235" spans="1:14" x14ac:dyDescent="0.25">
      <c r="A235" s="261" t="s">
        <v>152</v>
      </c>
      <c r="B235" s="262"/>
      <c r="C235" s="262"/>
      <c r="D235" s="262"/>
      <c r="E235" s="262"/>
      <c r="F235" s="262"/>
      <c r="G235" s="262"/>
      <c r="H235" s="262"/>
      <c r="I235" s="262"/>
      <c r="J235" s="262"/>
      <c r="K235" s="262"/>
      <c r="L235" s="262"/>
      <c r="M235" s="262"/>
      <c r="N235" s="262"/>
    </row>
    <row r="236" spans="1:14" x14ac:dyDescent="0.25">
      <c r="A236" s="203" t="s">
        <v>314</v>
      </c>
      <c r="B236" s="203" t="s">
        <v>318</v>
      </c>
      <c r="C236" s="203" t="s">
        <v>319</v>
      </c>
      <c r="D236" s="203" t="s">
        <v>320</v>
      </c>
      <c r="E236" s="203" t="s">
        <v>321</v>
      </c>
      <c r="F236" s="203" t="s">
        <v>54</v>
      </c>
      <c r="G236" s="203" t="s">
        <v>322</v>
      </c>
      <c r="H236" s="203" t="s">
        <v>323</v>
      </c>
      <c r="I236" s="203" t="s">
        <v>324</v>
      </c>
      <c r="J236" s="203" t="s">
        <v>325</v>
      </c>
      <c r="K236" s="203" t="s">
        <v>326</v>
      </c>
      <c r="L236" s="203" t="s">
        <v>327</v>
      </c>
      <c r="M236" s="203" t="s">
        <v>328</v>
      </c>
      <c r="N236" s="203" t="s">
        <v>329</v>
      </c>
    </row>
    <row r="237" spans="1:14" x14ac:dyDescent="0.25">
      <c r="A237" s="197" t="s">
        <v>315</v>
      </c>
    </row>
    <row r="238" spans="1:14" x14ac:dyDescent="0.25">
      <c r="A238" s="197" t="s">
        <v>68</v>
      </c>
    </row>
    <row r="239" spans="1:14" x14ac:dyDescent="0.25">
      <c r="A239" s="197" t="s">
        <v>316</v>
      </c>
    </row>
    <row r="240" spans="1:14" x14ac:dyDescent="0.25">
      <c r="A240" s="197" t="s">
        <v>317</v>
      </c>
    </row>
    <row r="245" spans="1:14" x14ac:dyDescent="0.25">
      <c r="A245" s="203" t="s">
        <v>314</v>
      </c>
      <c r="B245" s="203" t="s">
        <v>318</v>
      </c>
      <c r="C245" s="203" t="s">
        <v>319</v>
      </c>
      <c r="D245" s="203" t="s">
        <v>320</v>
      </c>
      <c r="E245" s="203" t="s">
        <v>321</v>
      </c>
      <c r="F245" s="203" t="s">
        <v>54</v>
      </c>
      <c r="G245" s="203" t="s">
        <v>322</v>
      </c>
      <c r="H245" s="203" t="s">
        <v>323</v>
      </c>
      <c r="I245" s="203" t="s">
        <v>324</v>
      </c>
      <c r="J245" s="203" t="s">
        <v>325</v>
      </c>
      <c r="K245" s="203" t="s">
        <v>326</v>
      </c>
      <c r="L245" s="203" t="s">
        <v>327</v>
      </c>
      <c r="M245" s="203" t="s">
        <v>328</v>
      </c>
      <c r="N245" s="203" t="s">
        <v>329</v>
      </c>
    </row>
    <row r="246" spans="1:14" ht="30" x14ac:dyDescent="0.25">
      <c r="A246" s="197" t="s">
        <v>330</v>
      </c>
    </row>
    <row r="247" spans="1:14" x14ac:dyDescent="0.25">
      <c r="A247" s="197" t="s">
        <v>331</v>
      </c>
    </row>
    <row r="248" spans="1:14" x14ac:dyDescent="0.25">
      <c r="A248" s="197" t="s">
        <v>332</v>
      </c>
    </row>
    <row r="249" spans="1:14" ht="30" x14ac:dyDescent="0.25">
      <c r="A249" s="197" t="s">
        <v>333</v>
      </c>
    </row>
    <row r="253" spans="1:14" x14ac:dyDescent="0.25">
      <c r="A253" s="203" t="s">
        <v>314</v>
      </c>
      <c r="B253" s="203" t="s">
        <v>318</v>
      </c>
      <c r="C253" s="203" t="s">
        <v>319</v>
      </c>
      <c r="D253" s="203" t="s">
        <v>320</v>
      </c>
      <c r="E253" s="203" t="s">
        <v>321</v>
      </c>
      <c r="F253" s="203" t="s">
        <v>54</v>
      </c>
      <c r="G253" s="203" t="s">
        <v>322</v>
      </c>
      <c r="H253" s="203" t="s">
        <v>323</v>
      </c>
      <c r="I253" s="203" t="s">
        <v>324</v>
      </c>
      <c r="J253" s="203" t="s">
        <v>325</v>
      </c>
      <c r="K253" s="203" t="s">
        <v>326</v>
      </c>
      <c r="L253" s="203" t="s">
        <v>327</v>
      </c>
      <c r="M253" s="203" t="s">
        <v>328</v>
      </c>
      <c r="N253" s="203" t="s">
        <v>329</v>
      </c>
    </row>
    <row r="254" spans="1:14" x14ac:dyDescent="0.25">
      <c r="A254" s="197" t="s">
        <v>334</v>
      </c>
    </row>
    <row r="255" spans="1:14" x14ac:dyDescent="0.25">
      <c r="A255" s="197" t="s">
        <v>335</v>
      </c>
    </row>
    <row r="256" spans="1:14" x14ac:dyDescent="0.25">
      <c r="A256" s="197" t="s">
        <v>336</v>
      </c>
    </row>
    <row r="257" spans="1:14" x14ac:dyDescent="0.25">
      <c r="A257" s="197" t="s">
        <v>337</v>
      </c>
    </row>
    <row r="258" spans="1:14" ht="30" x14ac:dyDescent="0.25">
      <c r="A258" s="197" t="s">
        <v>338</v>
      </c>
    </row>
    <row r="259" spans="1:14" ht="30" x14ac:dyDescent="0.25">
      <c r="A259" s="204" t="s">
        <v>339</v>
      </c>
    </row>
    <row r="263" spans="1:14" x14ac:dyDescent="0.25">
      <c r="A263" s="203" t="s">
        <v>314</v>
      </c>
      <c r="B263" s="203" t="s">
        <v>318</v>
      </c>
      <c r="C263" s="203" t="s">
        <v>319</v>
      </c>
      <c r="D263" s="203" t="s">
        <v>320</v>
      </c>
      <c r="E263" s="203" t="s">
        <v>321</v>
      </c>
      <c r="F263" s="203" t="s">
        <v>54</v>
      </c>
      <c r="G263" s="203" t="s">
        <v>322</v>
      </c>
      <c r="H263" s="203" t="s">
        <v>323</v>
      </c>
      <c r="I263" s="203" t="s">
        <v>324</v>
      </c>
      <c r="J263" s="203" t="s">
        <v>325</v>
      </c>
      <c r="K263" s="203" t="s">
        <v>326</v>
      </c>
      <c r="L263" s="203" t="s">
        <v>327</v>
      </c>
      <c r="M263" s="203" t="s">
        <v>328</v>
      </c>
      <c r="N263" s="203" t="s">
        <v>329</v>
      </c>
    </row>
    <row r="264" spans="1:14" x14ac:dyDescent="0.25">
      <c r="A264" s="204" t="s">
        <v>340</v>
      </c>
    </row>
    <row r="265" spans="1:14" x14ac:dyDescent="0.25">
      <c r="A265" s="197" t="s">
        <v>106</v>
      </c>
    </row>
    <row r="266" spans="1:14" x14ac:dyDescent="0.25">
      <c r="A266" s="197" t="s">
        <v>341</v>
      </c>
    </row>
    <row r="267" spans="1:14" x14ac:dyDescent="0.25">
      <c r="A267" s="197" t="s">
        <v>342</v>
      </c>
    </row>
    <row r="268" spans="1:14" x14ac:dyDescent="0.25">
      <c r="A268" s="204" t="s">
        <v>343</v>
      </c>
    </row>
    <row r="269" spans="1:14" ht="30" x14ac:dyDescent="0.25">
      <c r="A269" s="197" t="s">
        <v>344</v>
      </c>
    </row>
    <row r="270" spans="1:14" ht="30" x14ac:dyDescent="0.25">
      <c r="A270" s="197" t="s">
        <v>345</v>
      </c>
    </row>
    <row r="271" spans="1:14" ht="30" x14ac:dyDescent="0.25">
      <c r="A271" s="197" t="s">
        <v>346</v>
      </c>
    </row>
    <row r="275" spans="1:14" x14ac:dyDescent="0.25">
      <c r="A275" s="203" t="s">
        <v>314</v>
      </c>
      <c r="B275" s="203" t="s">
        <v>318</v>
      </c>
      <c r="C275" s="203" t="s">
        <v>319</v>
      </c>
      <c r="D275" s="203" t="s">
        <v>320</v>
      </c>
      <c r="E275" s="203" t="s">
        <v>321</v>
      </c>
      <c r="F275" s="203" t="s">
        <v>54</v>
      </c>
      <c r="G275" s="203" t="s">
        <v>322</v>
      </c>
      <c r="H275" s="203" t="s">
        <v>323</v>
      </c>
      <c r="I275" s="203" t="s">
        <v>324</v>
      </c>
      <c r="J275" s="203" t="s">
        <v>325</v>
      </c>
      <c r="K275" s="203" t="s">
        <v>326</v>
      </c>
      <c r="L275" s="203" t="s">
        <v>327</v>
      </c>
      <c r="M275" s="203" t="s">
        <v>328</v>
      </c>
      <c r="N275" s="203" t="s">
        <v>329</v>
      </c>
    </row>
    <row r="276" spans="1:14" x14ac:dyDescent="0.25">
      <c r="A276" s="197" t="s">
        <v>347</v>
      </c>
    </row>
    <row r="277" spans="1:14" x14ac:dyDescent="0.25">
      <c r="A277" s="197" t="s">
        <v>348</v>
      </c>
    </row>
    <row r="278" spans="1:14" x14ac:dyDescent="0.25">
      <c r="A278" s="204" t="s">
        <v>349</v>
      </c>
    </row>
    <row r="279" spans="1:14" x14ac:dyDescent="0.25">
      <c r="A279" s="197" t="s">
        <v>350</v>
      </c>
    </row>
    <row r="280" spans="1:14" x14ac:dyDescent="0.25">
      <c r="A280" s="197" t="s">
        <v>351</v>
      </c>
    </row>
    <row r="281" spans="1:14" ht="30" x14ac:dyDescent="0.25">
      <c r="A281" s="197" t="s">
        <v>352</v>
      </c>
    </row>
    <row r="285" spans="1:14" x14ac:dyDescent="0.25">
      <c r="A285" s="203" t="s">
        <v>314</v>
      </c>
      <c r="B285" s="203" t="s">
        <v>318</v>
      </c>
      <c r="C285" s="203" t="s">
        <v>319</v>
      </c>
      <c r="D285" s="203" t="s">
        <v>320</v>
      </c>
      <c r="E285" s="203" t="s">
        <v>321</v>
      </c>
      <c r="F285" s="203" t="s">
        <v>54</v>
      </c>
      <c r="G285" s="203" t="s">
        <v>322</v>
      </c>
      <c r="H285" s="203" t="s">
        <v>323</v>
      </c>
      <c r="I285" s="203" t="s">
        <v>324</v>
      </c>
      <c r="J285" s="203" t="s">
        <v>325</v>
      </c>
      <c r="K285" s="203" t="s">
        <v>326</v>
      </c>
      <c r="L285" s="203" t="s">
        <v>327</v>
      </c>
      <c r="M285" s="203" t="s">
        <v>328</v>
      </c>
      <c r="N285" s="203" t="s">
        <v>329</v>
      </c>
    </row>
    <row r="286" spans="1:14" x14ac:dyDescent="0.25">
      <c r="A286" s="197" t="s">
        <v>68</v>
      </c>
    </row>
    <row r="287" spans="1:14" x14ac:dyDescent="0.25">
      <c r="A287" s="197" t="s">
        <v>353</v>
      </c>
    </row>
    <row r="288" spans="1:14" ht="30" x14ac:dyDescent="0.25">
      <c r="A288" s="197" t="s">
        <v>354</v>
      </c>
    </row>
    <row r="289" spans="1:14" x14ac:dyDescent="0.25">
      <c r="A289" s="197" t="s">
        <v>355</v>
      </c>
    </row>
    <row r="290" spans="1:14" ht="30" x14ac:dyDescent="0.25">
      <c r="A290" s="197" t="s">
        <v>356</v>
      </c>
    </row>
    <row r="294" spans="1:14" x14ac:dyDescent="0.25">
      <c r="A294" s="203" t="s">
        <v>314</v>
      </c>
      <c r="B294" s="203" t="s">
        <v>318</v>
      </c>
      <c r="C294" s="203" t="s">
        <v>319</v>
      </c>
      <c r="D294" s="203" t="s">
        <v>320</v>
      </c>
      <c r="E294" s="203" t="s">
        <v>321</v>
      </c>
      <c r="F294" s="203" t="s">
        <v>54</v>
      </c>
      <c r="G294" s="203" t="s">
        <v>322</v>
      </c>
      <c r="H294" s="203" t="s">
        <v>323</v>
      </c>
      <c r="I294" s="203" t="s">
        <v>324</v>
      </c>
      <c r="J294" s="203" t="s">
        <v>325</v>
      </c>
      <c r="K294" s="203" t="s">
        <v>326</v>
      </c>
      <c r="L294" s="203" t="s">
        <v>327</v>
      </c>
      <c r="M294" s="203" t="s">
        <v>328</v>
      </c>
      <c r="N294" s="203" t="s">
        <v>329</v>
      </c>
    </row>
    <row r="295" spans="1:14" x14ac:dyDescent="0.25">
      <c r="A295" s="197" t="s">
        <v>357</v>
      </c>
    </row>
    <row r="296" spans="1:14" x14ac:dyDescent="0.25">
      <c r="A296" s="197" t="s">
        <v>358</v>
      </c>
    </row>
    <row r="297" spans="1:14" x14ac:dyDescent="0.25">
      <c r="A297" s="204" t="s">
        <v>359</v>
      </c>
    </row>
    <row r="298" spans="1:14" x14ac:dyDescent="0.25">
      <c r="A298" s="204" t="s">
        <v>360</v>
      </c>
    </row>
    <row r="299" spans="1:14" x14ac:dyDescent="0.25">
      <c r="A299" s="197" t="s">
        <v>361</v>
      </c>
    </row>
    <row r="303" spans="1:14" x14ac:dyDescent="0.25">
      <c r="A303" s="261" t="s">
        <v>201</v>
      </c>
      <c r="B303" s="262"/>
      <c r="C303" s="262"/>
      <c r="D303" s="262"/>
      <c r="E303" s="262"/>
      <c r="F303" s="262"/>
      <c r="G303" s="262"/>
      <c r="H303" s="262"/>
      <c r="I303" s="262"/>
      <c r="J303" s="262"/>
      <c r="K303" s="262"/>
      <c r="L303" s="262"/>
      <c r="M303" s="262"/>
      <c r="N303" s="262"/>
    </row>
    <row r="304" spans="1:14" x14ac:dyDescent="0.25">
      <c r="A304" s="203" t="s">
        <v>314</v>
      </c>
      <c r="B304" s="203" t="s">
        <v>318</v>
      </c>
      <c r="C304" s="203" t="s">
        <v>319</v>
      </c>
      <c r="D304" s="203" t="s">
        <v>320</v>
      </c>
      <c r="E304" s="203" t="s">
        <v>321</v>
      </c>
      <c r="F304" s="203" t="s">
        <v>54</v>
      </c>
      <c r="G304" s="203" t="s">
        <v>322</v>
      </c>
      <c r="H304" s="203" t="s">
        <v>323</v>
      </c>
      <c r="I304" s="203" t="s">
        <v>324</v>
      </c>
      <c r="J304" s="203" t="s">
        <v>325</v>
      </c>
      <c r="K304" s="203" t="s">
        <v>326</v>
      </c>
      <c r="L304" s="203" t="s">
        <v>327</v>
      </c>
      <c r="M304" s="203" t="s">
        <v>328</v>
      </c>
      <c r="N304" s="203" t="s">
        <v>329</v>
      </c>
    </row>
    <row r="305" spans="1:14" x14ac:dyDescent="0.25">
      <c r="A305" s="197" t="s">
        <v>315</v>
      </c>
    </row>
    <row r="306" spans="1:14" x14ac:dyDescent="0.25">
      <c r="A306" s="197" t="s">
        <v>68</v>
      </c>
    </row>
    <row r="307" spans="1:14" x14ac:dyDescent="0.25">
      <c r="A307" s="197" t="s">
        <v>316</v>
      </c>
    </row>
    <row r="308" spans="1:14" x14ac:dyDescent="0.25">
      <c r="A308" s="197" t="s">
        <v>317</v>
      </c>
    </row>
    <row r="313" spans="1:14" x14ac:dyDescent="0.25">
      <c r="A313" s="203" t="s">
        <v>314</v>
      </c>
      <c r="B313" s="203" t="s">
        <v>318</v>
      </c>
      <c r="C313" s="203" t="s">
        <v>319</v>
      </c>
      <c r="D313" s="203" t="s">
        <v>320</v>
      </c>
      <c r="E313" s="203" t="s">
        <v>321</v>
      </c>
      <c r="F313" s="203" t="s">
        <v>54</v>
      </c>
      <c r="G313" s="203" t="s">
        <v>322</v>
      </c>
      <c r="H313" s="203" t="s">
        <v>323</v>
      </c>
      <c r="I313" s="203" t="s">
        <v>324</v>
      </c>
      <c r="J313" s="203" t="s">
        <v>325</v>
      </c>
      <c r="K313" s="203" t="s">
        <v>326</v>
      </c>
      <c r="L313" s="203" t="s">
        <v>327</v>
      </c>
      <c r="M313" s="203" t="s">
        <v>328</v>
      </c>
      <c r="N313" s="203" t="s">
        <v>329</v>
      </c>
    </row>
    <row r="314" spans="1:14" ht="30" x14ac:dyDescent="0.25">
      <c r="A314" s="197" t="s">
        <v>330</v>
      </c>
    </row>
    <row r="315" spans="1:14" x14ac:dyDescent="0.25">
      <c r="A315" s="197" t="s">
        <v>331</v>
      </c>
    </row>
    <row r="316" spans="1:14" x14ac:dyDescent="0.25">
      <c r="A316" s="197" t="s">
        <v>332</v>
      </c>
    </row>
    <row r="317" spans="1:14" ht="30" x14ac:dyDescent="0.25">
      <c r="A317" s="197" t="s">
        <v>333</v>
      </c>
    </row>
    <row r="321" spans="1:14" x14ac:dyDescent="0.25">
      <c r="A321" s="203" t="s">
        <v>314</v>
      </c>
      <c r="B321" s="203" t="s">
        <v>318</v>
      </c>
      <c r="C321" s="203" t="s">
        <v>319</v>
      </c>
      <c r="D321" s="203" t="s">
        <v>320</v>
      </c>
      <c r="E321" s="203" t="s">
        <v>321</v>
      </c>
      <c r="F321" s="203" t="s">
        <v>54</v>
      </c>
      <c r="G321" s="203" t="s">
        <v>322</v>
      </c>
      <c r="H321" s="203" t="s">
        <v>323</v>
      </c>
      <c r="I321" s="203" t="s">
        <v>324</v>
      </c>
      <c r="J321" s="203" t="s">
        <v>325</v>
      </c>
      <c r="K321" s="203" t="s">
        <v>326</v>
      </c>
      <c r="L321" s="203" t="s">
        <v>327</v>
      </c>
      <c r="M321" s="203" t="s">
        <v>328</v>
      </c>
      <c r="N321" s="203" t="s">
        <v>329</v>
      </c>
    </row>
    <row r="322" spans="1:14" x14ac:dyDescent="0.25">
      <c r="A322" s="197" t="s">
        <v>334</v>
      </c>
    </row>
    <row r="323" spans="1:14" x14ac:dyDescent="0.25">
      <c r="A323" s="197" t="s">
        <v>335</v>
      </c>
    </row>
    <row r="324" spans="1:14" x14ac:dyDescent="0.25">
      <c r="A324" s="197" t="s">
        <v>336</v>
      </c>
    </row>
    <row r="325" spans="1:14" x14ac:dyDescent="0.25">
      <c r="A325" s="197" t="s">
        <v>337</v>
      </c>
    </row>
    <row r="326" spans="1:14" ht="30" x14ac:dyDescent="0.25">
      <c r="A326" s="197" t="s">
        <v>338</v>
      </c>
    </row>
    <row r="327" spans="1:14" ht="30" x14ac:dyDescent="0.25">
      <c r="A327" s="204" t="s">
        <v>339</v>
      </c>
    </row>
    <row r="331" spans="1:14" x14ac:dyDescent="0.25">
      <c r="A331" s="203" t="s">
        <v>314</v>
      </c>
      <c r="B331" s="203" t="s">
        <v>318</v>
      </c>
      <c r="C331" s="203" t="s">
        <v>319</v>
      </c>
      <c r="D331" s="203" t="s">
        <v>320</v>
      </c>
      <c r="E331" s="203" t="s">
        <v>321</v>
      </c>
      <c r="F331" s="203" t="s">
        <v>54</v>
      </c>
      <c r="G331" s="203" t="s">
        <v>322</v>
      </c>
      <c r="H331" s="203" t="s">
        <v>323</v>
      </c>
      <c r="I331" s="203" t="s">
        <v>324</v>
      </c>
      <c r="J331" s="203" t="s">
        <v>325</v>
      </c>
      <c r="K331" s="203" t="s">
        <v>326</v>
      </c>
      <c r="L331" s="203" t="s">
        <v>327</v>
      </c>
      <c r="M331" s="203" t="s">
        <v>328</v>
      </c>
      <c r="N331" s="203" t="s">
        <v>329</v>
      </c>
    </row>
    <row r="332" spans="1:14" x14ac:dyDescent="0.25">
      <c r="A332" s="204" t="s">
        <v>340</v>
      </c>
    </row>
    <row r="333" spans="1:14" x14ac:dyDescent="0.25">
      <c r="A333" s="197" t="s">
        <v>106</v>
      </c>
    </row>
    <row r="334" spans="1:14" x14ac:dyDescent="0.25">
      <c r="A334" s="197" t="s">
        <v>341</v>
      </c>
    </row>
    <row r="335" spans="1:14" x14ac:dyDescent="0.25">
      <c r="A335" s="197" t="s">
        <v>342</v>
      </c>
    </row>
    <row r="336" spans="1:14" x14ac:dyDescent="0.25">
      <c r="A336" s="204" t="s">
        <v>343</v>
      </c>
    </row>
    <row r="337" spans="1:14" ht="30" x14ac:dyDescent="0.25">
      <c r="A337" s="197" t="s">
        <v>344</v>
      </c>
    </row>
    <row r="338" spans="1:14" ht="30" x14ac:dyDescent="0.25">
      <c r="A338" s="197" t="s">
        <v>345</v>
      </c>
    </row>
    <row r="339" spans="1:14" ht="30" x14ac:dyDescent="0.25">
      <c r="A339" s="197" t="s">
        <v>346</v>
      </c>
    </row>
    <row r="343" spans="1:14" x14ac:dyDescent="0.25">
      <c r="A343" s="203" t="s">
        <v>314</v>
      </c>
      <c r="B343" s="203" t="s">
        <v>318</v>
      </c>
      <c r="C343" s="203" t="s">
        <v>319</v>
      </c>
      <c r="D343" s="203" t="s">
        <v>320</v>
      </c>
      <c r="E343" s="203" t="s">
        <v>321</v>
      </c>
      <c r="F343" s="203" t="s">
        <v>54</v>
      </c>
      <c r="G343" s="203" t="s">
        <v>322</v>
      </c>
      <c r="H343" s="203" t="s">
        <v>323</v>
      </c>
      <c r="I343" s="203" t="s">
        <v>324</v>
      </c>
      <c r="J343" s="203" t="s">
        <v>325</v>
      </c>
      <c r="K343" s="203" t="s">
        <v>326</v>
      </c>
      <c r="L343" s="203" t="s">
        <v>327</v>
      </c>
      <c r="M343" s="203" t="s">
        <v>328</v>
      </c>
      <c r="N343" s="203" t="s">
        <v>329</v>
      </c>
    </row>
    <row r="344" spans="1:14" x14ac:dyDescent="0.25">
      <c r="A344" s="197" t="s">
        <v>347</v>
      </c>
    </row>
    <row r="345" spans="1:14" x14ac:dyDescent="0.25">
      <c r="A345" s="197" t="s">
        <v>348</v>
      </c>
    </row>
    <row r="346" spans="1:14" x14ac:dyDescent="0.25">
      <c r="A346" s="204" t="s">
        <v>349</v>
      </c>
    </row>
    <row r="347" spans="1:14" x14ac:dyDescent="0.25">
      <c r="A347" s="197" t="s">
        <v>350</v>
      </c>
    </row>
    <row r="348" spans="1:14" x14ac:dyDescent="0.25">
      <c r="A348" s="197" t="s">
        <v>351</v>
      </c>
    </row>
    <row r="349" spans="1:14" ht="30" x14ac:dyDescent="0.25">
      <c r="A349" s="197" t="s">
        <v>352</v>
      </c>
    </row>
    <row r="353" spans="1:14" x14ac:dyDescent="0.25">
      <c r="A353" s="203" t="s">
        <v>314</v>
      </c>
      <c r="B353" s="203" t="s">
        <v>318</v>
      </c>
      <c r="C353" s="203" t="s">
        <v>319</v>
      </c>
      <c r="D353" s="203" t="s">
        <v>320</v>
      </c>
      <c r="E353" s="203" t="s">
        <v>321</v>
      </c>
      <c r="F353" s="203" t="s">
        <v>54</v>
      </c>
      <c r="G353" s="203" t="s">
        <v>322</v>
      </c>
      <c r="H353" s="203" t="s">
        <v>323</v>
      </c>
      <c r="I353" s="203" t="s">
        <v>324</v>
      </c>
      <c r="J353" s="203" t="s">
        <v>325</v>
      </c>
      <c r="K353" s="203" t="s">
        <v>326</v>
      </c>
      <c r="L353" s="203" t="s">
        <v>327</v>
      </c>
      <c r="M353" s="203" t="s">
        <v>328</v>
      </c>
      <c r="N353" s="203" t="s">
        <v>329</v>
      </c>
    </row>
    <row r="354" spans="1:14" x14ac:dyDescent="0.25">
      <c r="A354" s="197" t="s">
        <v>68</v>
      </c>
    </row>
    <row r="355" spans="1:14" x14ac:dyDescent="0.25">
      <c r="A355" s="197" t="s">
        <v>353</v>
      </c>
    </row>
    <row r="356" spans="1:14" ht="30" x14ac:dyDescent="0.25">
      <c r="A356" s="197" t="s">
        <v>354</v>
      </c>
    </row>
    <row r="357" spans="1:14" x14ac:dyDescent="0.25">
      <c r="A357" s="197" t="s">
        <v>355</v>
      </c>
    </row>
    <row r="358" spans="1:14" ht="30" x14ac:dyDescent="0.25">
      <c r="A358" s="197" t="s">
        <v>356</v>
      </c>
    </row>
    <row r="362" spans="1:14" x14ac:dyDescent="0.25">
      <c r="A362" s="203" t="s">
        <v>314</v>
      </c>
      <c r="B362" s="203" t="s">
        <v>318</v>
      </c>
      <c r="C362" s="203" t="s">
        <v>319</v>
      </c>
      <c r="D362" s="203" t="s">
        <v>320</v>
      </c>
      <c r="E362" s="203" t="s">
        <v>321</v>
      </c>
      <c r="F362" s="203" t="s">
        <v>54</v>
      </c>
      <c r="G362" s="203" t="s">
        <v>322</v>
      </c>
      <c r="H362" s="203" t="s">
        <v>323</v>
      </c>
      <c r="I362" s="203" t="s">
        <v>324</v>
      </c>
      <c r="J362" s="203" t="s">
        <v>325</v>
      </c>
      <c r="K362" s="203" t="s">
        <v>326</v>
      </c>
      <c r="L362" s="203" t="s">
        <v>327</v>
      </c>
      <c r="M362" s="203" t="s">
        <v>328</v>
      </c>
      <c r="N362" s="203" t="s">
        <v>329</v>
      </c>
    </row>
    <row r="363" spans="1:14" x14ac:dyDescent="0.25">
      <c r="A363" s="197" t="s">
        <v>357</v>
      </c>
    </row>
    <row r="364" spans="1:14" x14ac:dyDescent="0.25">
      <c r="A364" s="197" t="s">
        <v>358</v>
      </c>
    </row>
    <row r="365" spans="1:14" x14ac:dyDescent="0.25">
      <c r="A365" s="204" t="s">
        <v>359</v>
      </c>
    </row>
    <row r="366" spans="1:14" x14ac:dyDescent="0.25">
      <c r="A366" s="204" t="s">
        <v>360</v>
      </c>
    </row>
    <row r="367" spans="1:14" x14ac:dyDescent="0.25">
      <c r="A367" s="197" t="s">
        <v>361</v>
      </c>
    </row>
  </sheetData>
  <mergeCells count="6">
    <mergeCell ref="A303:N303"/>
    <mergeCell ref="B1:O1"/>
    <mergeCell ref="A26:N26"/>
    <mergeCell ref="A96:N96"/>
    <mergeCell ref="A167:N167"/>
    <mergeCell ref="A235:N23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4A7C70-CA54-4FC3-9DE8-26EB517D220D}">
  <sheetPr>
    <tabColor theme="3" tint="0.499984740745262"/>
  </sheetPr>
  <dimension ref="A1:O367"/>
  <sheetViews>
    <sheetView topLeftCell="A83" workbookViewId="0">
      <selection activeCell="Q100" sqref="Q100"/>
    </sheetView>
  </sheetViews>
  <sheetFormatPr baseColWidth="10" defaultRowHeight="15" x14ac:dyDescent="0.25"/>
  <cols>
    <col min="1" max="1" width="11.42578125" customWidth="1"/>
  </cols>
  <sheetData>
    <row r="1" spans="2:15" x14ac:dyDescent="0.25">
      <c r="B1" s="263" t="s">
        <v>295</v>
      </c>
      <c r="C1" s="262"/>
      <c r="D1" s="262"/>
      <c r="E1" s="262"/>
      <c r="F1" s="262"/>
      <c r="G1" s="262"/>
      <c r="H1" s="262"/>
      <c r="I1" s="262"/>
      <c r="J1" s="262"/>
      <c r="K1" s="262"/>
      <c r="L1" s="262"/>
      <c r="M1" s="262"/>
      <c r="N1" s="262"/>
      <c r="O1" s="262"/>
    </row>
    <row r="26" spans="1:14" x14ac:dyDescent="0.25">
      <c r="A26" s="261" t="s">
        <v>200</v>
      </c>
      <c r="B26" s="262"/>
      <c r="C26" s="262"/>
      <c r="D26" s="262"/>
      <c r="E26" s="262"/>
      <c r="F26" s="262"/>
      <c r="G26" s="262"/>
      <c r="H26" s="262"/>
      <c r="I26" s="262"/>
      <c r="J26" s="262"/>
      <c r="K26" s="262"/>
      <c r="L26" s="262"/>
      <c r="M26" s="262"/>
      <c r="N26" s="262"/>
    </row>
    <row r="27" spans="1:14" x14ac:dyDescent="0.25">
      <c r="A27" s="203" t="s">
        <v>314</v>
      </c>
      <c r="B27" s="203" t="s">
        <v>318</v>
      </c>
      <c r="C27" s="203" t="s">
        <v>319</v>
      </c>
      <c r="D27" s="203" t="s">
        <v>320</v>
      </c>
      <c r="E27" s="203" t="s">
        <v>321</v>
      </c>
      <c r="F27" s="203" t="s">
        <v>54</v>
      </c>
      <c r="G27" s="203" t="s">
        <v>322</v>
      </c>
      <c r="H27" s="203" t="s">
        <v>323</v>
      </c>
      <c r="I27" s="203" t="s">
        <v>324</v>
      </c>
      <c r="J27" s="203" t="s">
        <v>325</v>
      </c>
      <c r="K27" s="203" t="s">
        <v>326</v>
      </c>
      <c r="L27" s="203" t="s">
        <v>327</v>
      </c>
      <c r="M27" s="203" t="s">
        <v>328</v>
      </c>
      <c r="N27" s="203" t="s">
        <v>329</v>
      </c>
    </row>
    <row r="28" spans="1:14" x14ac:dyDescent="0.25">
      <c r="A28" s="197" t="s">
        <v>315</v>
      </c>
    </row>
    <row r="29" spans="1:14" ht="30" x14ac:dyDescent="0.25">
      <c r="A29" s="197" t="s">
        <v>68</v>
      </c>
    </row>
    <row r="30" spans="1:14" x14ac:dyDescent="0.25">
      <c r="A30" s="197" t="s">
        <v>316</v>
      </c>
    </row>
    <row r="31" spans="1:14" ht="45" x14ac:dyDescent="0.25">
      <c r="A31" s="197" t="s">
        <v>317</v>
      </c>
    </row>
    <row r="36" spans="1:14" x14ac:dyDescent="0.25">
      <c r="A36" s="203" t="s">
        <v>314</v>
      </c>
      <c r="B36" s="203" t="s">
        <v>318</v>
      </c>
      <c r="C36" s="203" t="s">
        <v>319</v>
      </c>
      <c r="D36" s="203" t="s">
        <v>320</v>
      </c>
      <c r="E36" s="203" t="s">
        <v>321</v>
      </c>
      <c r="F36" s="203" t="s">
        <v>54</v>
      </c>
      <c r="G36" s="203" t="s">
        <v>322</v>
      </c>
      <c r="H36" s="203" t="s">
        <v>323</v>
      </c>
      <c r="I36" s="203" t="s">
        <v>324</v>
      </c>
      <c r="J36" s="203" t="s">
        <v>325</v>
      </c>
      <c r="K36" s="203" t="s">
        <v>326</v>
      </c>
      <c r="L36" s="203" t="s">
        <v>327</v>
      </c>
      <c r="M36" s="203" t="s">
        <v>328</v>
      </c>
      <c r="N36" s="203" t="s">
        <v>329</v>
      </c>
    </row>
    <row r="37" spans="1:14" ht="60" x14ac:dyDescent="0.25">
      <c r="A37" s="197" t="s">
        <v>330</v>
      </c>
    </row>
    <row r="38" spans="1:14" ht="45" x14ac:dyDescent="0.25">
      <c r="A38" s="197" t="s">
        <v>331</v>
      </c>
    </row>
    <row r="39" spans="1:14" ht="30" x14ac:dyDescent="0.25">
      <c r="A39" s="197" t="s">
        <v>332</v>
      </c>
    </row>
    <row r="40" spans="1:14" ht="60" x14ac:dyDescent="0.25">
      <c r="A40" s="197" t="s">
        <v>333</v>
      </c>
    </row>
    <row r="44" spans="1:14" x14ac:dyDescent="0.25">
      <c r="A44" s="203" t="s">
        <v>314</v>
      </c>
      <c r="B44" s="203" t="s">
        <v>318</v>
      </c>
      <c r="C44" s="203" t="s">
        <v>319</v>
      </c>
      <c r="D44" s="203" t="s">
        <v>320</v>
      </c>
      <c r="E44" s="203" t="s">
        <v>321</v>
      </c>
      <c r="F44" s="203" t="s">
        <v>54</v>
      </c>
      <c r="G44" s="203" t="s">
        <v>322</v>
      </c>
      <c r="H44" s="203" t="s">
        <v>323</v>
      </c>
      <c r="I44" s="203" t="s">
        <v>324</v>
      </c>
      <c r="J44" s="203" t="s">
        <v>325</v>
      </c>
      <c r="K44" s="203" t="s">
        <v>326</v>
      </c>
      <c r="L44" s="203" t="s">
        <v>327</v>
      </c>
      <c r="M44" s="203" t="s">
        <v>328</v>
      </c>
      <c r="N44" s="203" t="s">
        <v>329</v>
      </c>
    </row>
    <row r="45" spans="1:14" x14ac:dyDescent="0.25">
      <c r="A45" s="197" t="s">
        <v>334</v>
      </c>
    </row>
    <row r="46" spans="1:14" ht="45" x14ac:dyDescent="0.25">
      <c r="A46" s="197" t="s">
        <v>335</v>
      </c>
    </row>
    <row r="47" spans="1:14" ht="60" x14ac:dyDescent="0.25">
      <c r="A47" s="197" t="s">
        <v>336</v>
      </c>
    </row>
    <row r="48" spans="1:14" ht="45" x14ac:dyDescent="0.25">
      <c r="A48" s="197" t="s">
        <v>337</v>
      </c>
    </row>
    <row r="49" spans="1:14" ht="45" x14ac:dyDescent="0.25">
      <c r="A49" s="197" t="s">
        <v>338</v>
      </c>
    </row>
    <row r="50" spans="1:14" ht="60" x14ac:dyDescent="0.25">
      <c r="A50" s="204" t="s">
        <v>339</v>
      </c>
    </row>
    <row r="54" spans="1:14" x14ac:dyDescent="0.25">
      <c r="A54" s="203" t="s">
        <v>314</v>
      </c>
      <c r="B54" s="203" t="s">
        <v>318</v>
      </c>
      <c r="C54" s="203" t="s">
        <v>319</v>
      </c>
      <c r="D54" s="203" t="s">
        <v>320</v>
      </c>
      <c r="E54" s="203" t="s">
        <v>321</v>
      </c>
      <c r="F54" s="203" t="s">
        <v>54</v>
      </c>
      <c r="G54" s="203" t="s">
        <v>322</v>
      </c>
      <c r="H54" s="203" t="s">
        <v>323</v>
      </c>
      <c r="I54" s="203" t="s">
        <v>324</v>
      </c>
      <c r="J54" s="203" t="s">
        <v>325</v>
      </c>
      <c r="K54" s="203" t="s">
        <v>326</v>
      </c>
      <c r="L54" s="203" t="s">
        <v>327</v>
      </c>
      <c r="M54" s="203" t="s">
        <v>328</v>
      </c>
      <c r="N54" s="203" t="s">
        <v>329</v>
      </c>
    </row>
    <row r="55" spans="1:14" ht="45" x14ac:dyDescent="0.25">
      <c r="A55" s="204" t="s">
        <v>340</v>
      </c>
    </row>
    <row r="56" spans="1:14" x14ac:dyDescent="0.25">
      <c r="A56" s="197" t="s">
        <v>106</v>
      </c>
    </row>
    <row r="57" spans="1:14" ht="45" x14ac:dyDescent="0.25">
      <c r="A57" s="197" t="s">
        <v>341</v>
      </c>
    </row>
    <row r="58" spans="1:14" ht="45" x14ac:dyDescent="0.25">
      <c r="A58" s="197" t="s">
        <v>342</v>
      </c>
    </row>
    <row r="59" spans="1:14" ht="45" x14ac:dyDescent="0.25">
      <c r="A59" s="204" t="s">
        <v>343</v>
      </c>
    </row>
    <row r="60" spans="1:14" ht="60" x14ac:dyDescent="0.25">
      <c r="A60" s="197" t="s">
        <v>344</v>
      </c>
    </row>
    <row r="61" spans="1:14" ht="60" x14ac:dyDescent="0.25">
      <c r="A61" s="197" t="s">
        <v>345</v>
      </c>
    </row>
    <row r="62" spans="1:14" ht="75" x14ac:dyDescent="0.25">
      <c r="A62" s="197" t="s">
        <v>346</v>
      </c>
    </row>
    <row r="66" spans="1:14" x14ac:dyDescent="0.25">
      <c r="A66" s="203" t="s">
        <v>314</v>
      </c>
      <c r="B66" s="203" t="s">
        <v>318</v>
      </c>
      <c r="C66" s="203" t="s">
        <v>319</v>
      </c>
      <c r="D66" s="203" t="s">
        <v>320</v>
      </c>
      <c r="E66" s="203" t="s">
        <v>321</v>
      </c>
      <c r="F66" s="203" t="s">
        <v>54</v>
      </c>
      <c r="G66" s="203" t="s">
        <v>322</v>
      </c>
      <c r="H66" s="203" t="s">
        <v>323</v>
      </c>
      <c r="I66" s="203" t="s">
        <v>324</v>
      </c>
      <c r="J66" s="203" t="s">
        <v>325</v>
      </c>
      <c r="K66" s="203" t="s">
        <v>326</v>
      </c>
      <c r="L66" s="203" t="s">
        <v>327</v>
      </c>
      <c r="M66" s="203" t="s">
        <v>328</v>
      </c>
      <c r="N66" s="203" t="s">
        <v>329</v>
      </c>
    </row>
    <row r="67" spans="1:14" ht="30" x14ac:dyDescent="0.25">
      <c r="A67" s="197" t="s">
        <v>347</v>
      </c>
    </row>
    <row r="68" spans="1:14" ht="30" x14ac:dyDescent="0.25">
      <c r="A68" s="197" t="s">
        <v>348</v>
      </c>
    </row>
    <row r="69" spans="1:14" ht="45" x14ac:dyDescent="0.25">
      <c r="A69" s="204" t="s">
        <v>349</v>
      </c>
    </row>
    <row r="70" spans="1:14" ht="45" x14ac:dyDescent="0.25">
      <c r="A70" s="197" t="s">
        <v>350</v>
      </c>
    </row>
    <row r="71" spans="1:14" ht="30" x14ac:dyDescent="0.25">
      <c r="A71" s="197" t="s">
        <v>351</v>
      </c>
    </row>
    <row r="72" spans="1:14" ht="60" x14ac:dyDescent="0.25">
      <c r="A72" s="197" t="s">
        <v>352</v>
      </c>
    </row>
    <row r="76" spans="1:14" x14ac:dyDescent="0.25">
      <c r="A76" s="203" t="s">
        <v>314</v>
      </c>
      <c r="B76" s="203" t="s">
        <v>318</v>
      </c>
      <c r="C76" s="203" t="s">
        <v>319</v>
      </c>
      <c r="D76" s="203" t="s">
        <v>320</v>
      </c>
      <c r="E76" s="203" t="s">
        <v>321</v>
      </c>
      <c r="F76" s="203" t="s">
        <v>54</v>
      </c>
      <c r="G76" s="203" t="s">
        <v>322</v>
      </c>
      <c r="H76" s="203" t="s">
        <v>323</v>
      </c>
      <c r="I76" s="203" t="s">
        <v>324</v>
      </c>
      <c r="J76" s="203" t="s">
        <v>325</v>
      </c>
      <c r="K76" s="203" t="s">
        <v>326</v>
      </c>
      <c r="L76" s="203" t="s">
        <v>327</v>
      </c>
      <c r="M76" s="203" t="s">
        <v>328</v>
      </c>
      <c r="N76" s="203" t="s">
        <v>329</v>
      </c>
    </row>
    <row r="77" spans="1:14" ht="30" x14ac:dyDescent="0.25">
      <c r="A77" s="197" t="s">
        <v>68</v>
      </c>
    </row>
    <row r="78" spans="1:14" ht="45" x14ac:dyDescent="0.25">
      <c r="A78" s="197" t="s">
        <v>353</v>
      </c>
    </row>
    <row r="79" spans="1:14" ht="75" x14ac:dyDescent="0.25">
      <c r="A79" s="197" t="s">
        <v>354</v>
      </c>
    </row>
    <row r="80" spans="1:14" x14ac:dyDescent="0.25">
      <c r="A80" s="197" t="s">
        <v>355</v>
      </c>
    </row>
    <row r="81" spans="1:14" ht="60" x14ac:dyDescent="0.25">
      <c r="A81" s="197" t="s">
        <v>356</v>
      </c>
    </row>
    <row r="85" spans="1:14" x14ac:dyDescent="0.25">
      <c r="A85" s="203" t="s">
        <v>314</v>
      </c>
      <c r="B85" s="203" t="s">
        <v>318</v>
      </c>
      <c r="C85" s="203" t="s">
        <v>319</v>
      </c>
      <c r="D85" s="203" t="s">
        <v>320</v>
      </c>
      <c r="E85" s="203" t="s">
        <v>321</v>
      </c>
      <c r="F85" s="203" t="s">
        <v>54</v>
      </c>
      <c r="G85" s="203" t="s">
        <v>322</v>
      </c>
      <c r="H85" s="203" t="s">
        <v>323</v>
      </c>
      <c r="I85" s="203" t="s">
        <v>324</v>
      </c>
      <c r="J85" s="203" t="s">
        <v>325</v>
      </c>
      <c r="K85" s="203" t="s">
        <v>326</v>
      </c>
      <c r="L85" s="203" t="s">
        <v>327</v>
      </c>
      <c r="M85" s="203" t="s">
        <v>328</v>
      </c>
      <c r="N85" s="203" t="s">
        <v>329</v>
      </c>
    </row>
    <row r="86" spans="1:14" ht="45" x14ac:dyDescent="0.25">
      <c r="A86" s="197" t="s">
        <v>357</v>
      </c>
    </row>
    <row r="87" spans="1:14" ht="60" x14ac:dyDescent="0.25">
      <c r="A87" s="197" t="s">
        <v>358</v>
      </c>
    </row>
    <row r="88" spans="1:14" ht="30" x14ac:dyDescent="0.25">
      <c r="A88" s="204" t="s">
        <v>359</v>
      </c>
    </row>
    <row r="89" spans="1:14" ht="30" x14ac:dyDescent="0.25">
      <c r="A89" s="204" t="s">
        <v>360</v>
      </c>
    </row>
    <row r="90" spans="1:14" ht="30" x14ac:dyDescent="0.25">
      <c r="A90" s="197" t="s">
        <v>361</v>
      </c>
    </row>
    <row r="96" spans="1:14" x14ac:dyDescent="0.25">
      <c r="A96" s="261" t="s">
        <v>48</v>
      </c>
      <c r="B96" s="262"/>
      <c r="C96" s="262"/>
      <c r="D96" s="262"/>
      <c r="E96" s="262"/>
      <c r="F96" s="262"/>
      <c r="G96" s="262"/>
      <c r="H96" s="262"/>
      <c r="I96" s="262"/>
      <c r="J96" s="262"/>
      <c r="K96" s="262"/>
      <c r="L96" s="262"/>
      <c r="M96" s="262"/>
      <c r="N96" s="262"/>
    </row>
    <row r="97" spans="1:14" x14ac:dyDescent="0.25">
      <c r="A97" s="203" t="s">
        <v>314</v>
      </c>
      <c r="B97" s="203" t="s">
        <v>318</v>
      </c>
      <c r="C97" s="203" t="s">
        <v>319</v>
      </c>
      <c r="D97" s="203" t="s">
        <v>320</v>
      </c>
      <c r="E97" s="203" t="s">
        <v>321</v>
      </c>
      <c r="F97" s="203" t="s">
        <v>54</v>
      </c>
      <c r="G97" s="203" t="s">
        <v>322</v>
      </c>
      <c r="H97" s="203" t="s">
        <v>323</v>
      </c>
      <c r="I97" s="203" t="s">
        <v>324</v>
      </c>
      <c r="J97" s="203" t="s">
        <v>325</v>
      </c>
      <c r="K97" s="203" t="s">
        <v>326</v>
      </c>
      <c r="L97" s="203" t="s">
        <v>327</v>
      </c>
      <c r="M97" s="203" t="s">
        <v>328</v>
      </c>
      <c r="N97" s="203" t="s">
        <v>329</v>
      </c>
    </row>
    <row r="98" spans="1:14" x14ac:dyDescent="0.25">
      <c r="A98" s="197" t="s">
        <v>315</v>
      </c>
    </row>
    <row r="99" spans="1:14" ht="30" x14ac:dyDescent="0.25">
      <c r="A99" s="197" t="s">
        <v>68</v>
      </c>
    </row>
    <row r="100" spans="1:14" x14ac:dyDescent="0.25">
      <c r="A100" s="197" t="s">
        <v>316</v>
      </c>
    </row>
    <row r="101" spans="1:14" ht="45" x14ac:dyDescent="0.25">
      <c r="A101" s="197" t="s">
        <v>317</v>
      </c>
    </row>
    <row r="106" spans="1:14" x14ac:dyDescent="0.25">
      <c r="A106" s="203" t="s">
        <v>314</v>
      </c>
      <c r="B106" s="203" t="s">
        <v>318</v>
      </c>
      <c r="C106" s="203" t="s">
        <v>319</v>
      </c>
      <c r="D106" s="203" t="s">
        <v>320</v>
      </c>
      <c r="E106" s="203" t="s">
        <v>321</v>
      </c>
      <c r="F106" s="203" t="s">
        <v>54</v>
      </c>
      <c r="G106" s="203" t="s">
        <v>322</v>
      </c>
      <c r="H106" s="203" t="s">
        <v>323</v>
      </c>
      <c r="I106" s="203" t="s">
        <v>324</v>
      </c>
      <c r="J106" s="203" t="s">
        <v>325</v>
      </c>
      <c r="K106" s="203" t="s">
        <v>326</v>
      </c>
      <c r="L106" s="203" t="s">
        <v>327</v>
      </c>
      <c r="M106" s="203" t="s">
        <v>328</v>
      </c>
      <c r="N106" s="203" t="s">
        <v>329</v>
      </c>
    </row>
    <row r="107" spans="1:14" ht="60" x14ac:dyDescent="0.25">
      <c r="A107" s="197" t="s">
        <v>330</v>
      </c>
    </row>
    <row r="108" spans="1:14" ht="45" x14ac:dyDescent="0.25">
      <c r="A108" s="197" t="s">
        <v>331</v>
      </c>
    </row>
    <row r="109" spans="1:14" ht="30" x14ac:dyDescent="0.25">
      <c r="A109" s="197" t="s">
        <v>332</v>
      </c>
    </row>
    <row r="110" spans="1:14" ht="60" x14ac:dyDescent="0.25">
      <c r="A110" s="197" t="s">
        <v>333</v>
      </c>
    </row>
    <row r="114" spans="1:14" x14ac:dyDescent="0.25">
      <c r="A114" s="203" t="s">
        <v>314</v>
      </c>
      <c r="B114" s="203" t="s">
        <v>318</v>
      </c>
      <c r="C114" s="203" t="s">
        <v>319</v>
      </c>
      <c r="D114" s="203" t="s">
        <v>320</v>
      </c>
      <c r="E114" s="203" t="s">
        <v>321</v>
      </c>
      <c r="F114" s="203" t="s">
        <v>54</v>
      </c>
      <c r="G114" s="203" t="s">
        <v>322</v>
      </c>
      <c r="H114" s="203" t="s">
        <v>323</v>
      </c>
      <c r="I114" s="203" t="s">
        <v>324</v>
      </c>
      <c r="J114" s="203" t="s">
        <v>325</v>
      </c>
      <c r="K114" s="203" t="s">
        <v>326</v>
      </c>
      <c r="L114" s="203" t="s">
        <v>327</v>
      </c>
      <c r="M114" s="203" t="s">
        <v>328</v>
      </c>
      <c r="N114" s="203" t="s">
        <v>329</v>
      </c>
    </row>
    <row r="115" spans="1:14" x14ac:dyDescent="0.25">
      <c r="A115" s="197" t="s">
        <v>334</v>
      </c>
    </row>
    <row r="116" spans="1:14" ht="45" x14ac:dyDescent="0.25">
      <c r="A116" s="197" t="s">
        <v>335</v>
      </c>
    </row>
    <row r="117" spans="1:14" ht="60" x14ac:dyDescent="0.25">
      <c r="A117" s="197" t="s">
        <v>336</v>
      </c>
    </row>
    <row r="118" spans="1:14" ht="45" x14ac:dyDescent="0.25">
      <c r="A118" s="197" t="s">
        <v>337</v>
      </c>
    </row>
    <row r="119" spans="1:14" ht="45" x14ac:dyDescent="0.25">
      <c r="A119" s="197" t="s">
        <v>338</v>
      </c>
    </row>
    <row r="120" spans="1:14" ht="60" x14ac:dyDescent="0.25">
      <c r="A120" s="204" t="s">
        <v>339</v>
      </c>
    </row>
    <row r="124" spans="1:14" x14ac:dyDescent="0.25">
      <c r="A124" s="203" t="s">
        <v>314</v>
      </c>
      <c r="B124" s="203" t="s">
        <v>318</v>
      </c>
      <c r="C124" s="203" t="s">
        <v>319</v>
      </c>
      <c r="D124" s="203" t="s">
        <v>320</v>
      </c>
      <c r="E124" s="203" t="s">
        <v>321</v>
      </c>
      <c r="F124" s="203" t="s">
        <v>54</v>
      </c>
      <c r="G124" s="203" t="s">
        <v>322</v>
      </c>
      <c r="H124" s="203" t="s">
        <v>323</v>
      </c>
      <c r="I124" s="203" t="s">
        <v>324</v>
      </c>
      <c r="J124" s="203" t="s">
        <v>325</v>
      </c>
      <c r="K124" s="203" t="s">
        <v>326</v>
      </c>
      <c r="L124" s="203" t="s">
        <v>327</v>
      </c>
      <c r="M124" s="203" t="s">
        <v>328</v>
      </c>
      <c r="N124" s="203" t="s">
        <v>329</v>
      </c>
    </row>
    <row r="125" spans="1:14" ht="45" x14ac:dyDescent="0.25">
      <c r="A125" s="204" t="s">
        <v>340</v>
      </c>
    </row>
    <row r="126" spans="1:14" x14ac:dyDescent="0.25">
      <c r="A126" s="197" t="s">
        <v>106</v>
      </c>
    </row>
    <row r="127" spans="1:14" ht="45" x14ac:dyDescent="0.25">
      <c r="A127" s="197" t="s">
        <v>341</v>
      </c>
    </row>
    <row r="128" spans="1:14" ht="45" x14ac:dyDescent="0.25">
      <c r="A128" s="197" t="s">
        <v>342</v>
      </c>
    </row>
    <row r="129" spans="1:14" ht="45" x14ac:dyDescent="0.25">
      <c r="A129" s="204" t="s">
        <v>343</v>
      </c>
    </row>
    <row r="130" spans="1:14" ht="60" x14ac:dyDescent="0.25">
      <c r="A130" s="197" t="s">
        <v>344</v>
      </c>
    </row>
    <row r="131" spans="1:14" ht="60" x14ac:dyDescent="0.25">
      <c r="A131" s="197" t="s">
        <v>345</v>
      </c>
    </row>
    <row r="132" spans="1:14" ht="75" x14ac:dyDescent="0.25">
      <c r="A132" s="197" t="s">
        <v>346</v>
      </c>
    </row>
    <row r="136" spans="1:14" x14ac:dyDescent="0.25">
      <c r="A136" s="203" t="s">
        <v>314</v>
      </c>
      <c r="B136" s="203" t="s">
        <v>318</v>
      </c>
      <c r="C136" s="203" t="s">
        <v>319</v>
      </c>
      <c r="D136" s="203" t="s">
        <v>320</v>
      </c>
      <c r="E136" s="203" t="s">
        <v>321</v>
      </c>
      <c r="F136" s="203" t="s">
        <v>54</v>
      </c>
      <c r="G136" s="203" t="s">
        <v>322</v>
      </c>
      <c r="H136" s="203" t="s">
        <v>323</v>
      </c>
      <c r="I136" s="203" t="s">
        <v>324</v>
      </c>
      <c r="J136" s="203" t="s">
        <v>325</v>
      </c>
      <c r="K136" s="203" t="s">
        <v>326</v>
      </c>
      <c r="L136" s="203" t="s">
        <v>327</v>
      </c>
      <c r="M136" s="203" t="s">
        <v>328</v>
      </c>
      <c r="N136" s="203" t="s">
        <v>329</v>
      </c>
    </row>
    <row r="137" spans="1:14" ht="30" x14ac:dyDescent="0.25">
      <c r="A137" s="197" t="s">
        <v>347</v>
      </c>
    </row>
    <row r="138" spans="1:14" ht="30" x14ac:dyDescent="0.25">
      <c r="A138" s="197" t="s">
        <v>348</v>
      </c>
    </row>
    <row r="139" spans="1:14" ht="45" x14ac:dyDescent="0.25">
      <c r="A139" s="204" t="s">
        <v>349</v>
      </c>
    </row>
    <row r="140" spans="1:14" ht="45" x14ac:dyDescent="0.25">
      <c r="A140" s="197" t="s">
        <v>350</v>
      </c>
    </row>
    <row r="141" spans="1:14" ht="30" x14ac:dyDescent="0.25">
      <c r="A141" s="197" t="s">
        <v>351</v>
      </c>
    </row>
    <row r="142" spans="1:14" ht="60" x14ac:dyDescent="0.25">
      <c r="A142" s="197" t="s">
        <v>352</v>
      </c>
    </row>
    <row r="146" spans="1:14" x14ac:dyDescent="0.25">
      <c r="A146" s="203" t="s">
        <v>314</v>
      </c>
      <c r="B146" s="203" t="s">
        <v>318</v>
      </c>
      <c r="C146" s="203" t="s">
        <v>319</v>
      </c>
      <c r="D146" s="203" t="s">
        <v>320</v>
      </c>
      <c r="E146" s="203" t="s">
        <v>321</v>
      </c>
      <c r="F146" s="203" t="s">
        <v>54</v>
      </c>
      <c r="G146" s="203" t="s">
        <v>322</v>
      </c>
      <c r="H146" s="203" t="s">
        <v>323</v>
      </c>
      <c r="I146" s="203" t="s">
        <v>324</v>
      </c>
      <c r="J146" s="203" t="s">
        <v>325</v>
      </c>
      <c r="K146" s="203" t="s">
        <v>326</v>
      </c>
      <c r="L146" s="203" t="s">
        <v>327</v>
      </c>
      <c r="M146" s="203" t="s">
        <v>328</v>
      </c>
      <c r="N146" s="203" t="s">
        <v>329</v>
      </c>
    </row>
    <row r="147" spans="1:14" ht="30" x14ac:dyDescent="0.25">
      <c r="A147" s="197" t="s">
        <v>68</v>
      </c>
    </row>
    <row r="148" spans="1:14" ht="45" x14ac:dyDescent="0.25">
      <c r="A148" s="197" t="s">
        <v>353</v>
      </c>
    </row>
    <row r="149" spans="1:14" ht="75" x14ac:dyDescent="0.25">
      <c r="A149" s="197" t="s">
        <v>354</v>
      </c>
    </row>
    <row r="150" spans="1:14" x14ac:dyDescent="0.25">
      <c r="A150" s="197" t="s">
        <v>355</v>
      </c>
    </row>
    <row r="151" spans="1:14" ht="60" x14ac:dyDescent="0.25">
      <c r="A151" s="197" t="s">
        <v>356</v>
      </c>
    </row>
    <row r="155" spans="1:14" x14ac:dyDescent="0.25">
      <c r="A155" s="203" t="s">
        <v>314</v>
      </c>
      <c r="B155" s="203" t="s">
        <v>318</v>
      </c>
      <c r="C155" s="203" t="s">
        <v>319</v>
      </c>
      <c r="D155" s="203" t="s">
        <v>320</v>
      </c>
      <c r="E155" s="203" t="s">
        <v>321</v>
      </c>
      <c r="F155" s="203" t="s">
        <v>54</v>
      </c>
      <c r="G155" s="203" t="s">
        <v>322</v>
      </c>
      <c r="H155" s="203" t="s">
        <v>323</v>
      </c>
      <c r="I155" s="203" t="s">
        <v>324</v>
      </c>
      <c r="J155" s="203" t="s">
        <v>325</v>
      </c>
      <c r="K155" s="203" t="s">
        <v>326</v>
      </c>
      <c r="L155" s="203" t="s">
        <v>327</v>
      </c>
      <c r="M155" s="203" t="s">
        <v>328</v>
      </c>
      <c r="N155" s="203" t="s">
        <v>329</v>
      </c>
    </row>
    <row r="156" spans="1:14" ht="45" x14ac:dyDescent="0.25">
      <c r="A156" s="197" t="s">
        <v>357</v>
      </c>
    </row>
    <row r="157" spans="1:14" ht="60" x14ac:dyDescent="0.25">
      <c r="A157" s="197" t="s">
        <v>358</v>
      </c>
    </row>
    <row r="158" spans="1:14" ht="30" x14ac:dyDescent="0.25">
      <c r="A158" s="204" t="s">
        <v>359</v>
      </c>
    </row>
    <row r="159" spans="1:14" ht="30" x14ac:dyDescent="0.25">
      <c r="A159" s="204" t="s">
        <v>360</v>
      </c>
    </row>
    <row r="160" spans="1:14" ht="30" x14ac:dyDescent="0.25">
      <c r="A160" s="197" t="s">
        <v>361</v>
      </c>
    </row>
    <row r="167" spans="1:14" x14ac:dyDescent="0.25">
      <c r="A167" s="261" t="s">
        <v>362</v>
      </c>
      <c r="B167" s="262"/>
      <c r="C167" s="262"/>
      <c r="D167" s="262"/>
      <c r="E167" s="262"/>
      <c r="F167" s="262"/>
      <c r="G167" s="262"/>
      <c r="H167" s="262"/>
      <c r="I167" s="262"/>
      <c r="J167" s="262"/>
      <c r="K167" s="262"/>
      <c r="L167" s="262"/>
      <c r="M167" s="262"/>
      <c r="N167" s="262"/>
    </row>
    <row r="168" spans="1:14" x14ac:dyDescent="0.25">
      <c r="A168" s="203" t="s">
        <v>314</v>
      </c>
      <c r="B168" s="203" t="s">
        <v>318</v>
      </c>
      <c r="C168" s="203" t="s">
        <v>319</v>
      </c>
      <c r="D168" s="203" t="s">
        <v>320</v>
      </c>
      <c r="E168" s="203" t="s">
        <v>321</v>
      </c>
      <c r="F168" s="203" t="s">
        <v>54</v>
      </c>
      <c r="G168" s="203" t="s">
        <v>322</v>
      </c>
      <c r="H168" s="203" t="s">
        <v>323</v>
      </c>
      <c r="I168" s="203" t="s">
        <v>324</v>
      </c>
      <c r="J168" s="203" t="s">
        <v>325</v>
      </c>
      <c r="K168" s="203" t="s">
        <v>326</v>
      </c>
      <c r="L168" s="203" t="s">
        <v>327</v>
      </c>
      <c r="M168" s="203" t="s">
        <v>328</v>
      </c>
      <c r="N168" s="203" t="s">
        <v>329</v>
      </c>
    </row>
    <row r="169" spans="1:14" x14ac:dyDescent="0.25">
      <c r="A169" s="197" t="s">
        <v>315</v>
      </c>
    </row>
    <row r="170" spans="1:14" ht="30" x14ac:dyDescent="0.25">
      <c r="A170" s="197" t="s">
        <v>68</v>
      </c>
    </row>
    <row r="171" spans="1:14" x14ac:dyDescent="0.25">
      <c r="A171" s="197" t="s">
        <v>316</v>
      </c>
    </row>
    <row r="172" spans="1:14" ht="45" x14ac:dyDescent="0.25">
      <c r="A172" s="197" t="s">
        <v>317</v>
      </c>
    </row>
    <row r="177" spans="1:14" x14ac:dyDescent="0.25">
      <c r="A177" s="203" t="s">
        <v>314</v>
      </c>
      <c r="B177" s="203" t="s">
        <v>318</v>
      </c>
      <c r="C177" s="203" t="s">
        <v>319</v>
      </c>
      <c r="D177" s="203" t="s">
        <v>320</v>
      </c>
      <c r="E177" s="203" t="s">
        <v>321</v>
      </c>
      <c r="F177" s="203" t="s">
        <v>54</v>
      </c>
      <c r="G177" s="203" t="s">
        <v>322</v>
      </c>
      <c r="H177" s="203" t="s">
        <v>323</v>
      </c>
      <c r="I177" s="203" t="s">
        <v>324</v>
      </c>
      <c r="J177" s="203" t="s">
        <v>325</v>
      </c>
      <c r="K177" s="203" t="s">
        <v>326</v>
      </c>
      <c r="L177" s="203" t="s">
        <v>327</v>
      </c>
      <c r="M177" s="203" t="s">
        <v>328</v>
      </c>
      <c r="N177" s="203" t="s">
        <v>329</v>
      </c>
    </row>
    <row r="178" spans="1:14" ht="60" x14ac:dyDescent="0.25">
      <c r="A178" s="197" t="s">
        <v>330</v>
      </c>
    </row>
    <row r="179" spans="1:14" ht="45" x14ac:dyDescent="0.25">
      <c r="A179" s="197" t="s">
        <v>331</v>
      </c>
    </row>
    <row r="180" spans="1:14" ht="30" x14ac:dyDescent="0.25">
      <c r="A180" s="197" t="s">
        <v>332</v>
      </c>
    </row>
    <row r="181" spans="1:14" ht="60" x14ac:dyDescent="0.25">
      <c r="A181" s="197" t="s">
        <v>333</v>
      </c>
    </row>
    <row r="185" spans="1:14" x14ac:dyDescent="0.25">
      <c r="A185" s="203" t="s">
        <v>314</v>
      </c>
      <c r="B185" s="203" t="s">
        <v>318</v>
      </c>
      <c r="C185" s="203" t="s">
        <v>319</v>
      </c>
      <c r="D185" s="203" t="s">
        <v>320</v>
      </c>
      <c r="E185" s="203" t="s">
        <v>321</v>
      </c>
      <c r="F185" s="203" t="s">
        <v>54</v>
      </c>
      <c r="G185" s="203" t="s">
        <v>322</v>
      </c>
      <c r="H185" s="203" t="s">
        <v>323</v>
      </c>
      <c r="I185" s="203" t="s">
        <v>324</v>
      </c>
      <c r="J185" s="203" t="s">
        <v>325</v>
      </c>
      <c r="K185" s="203" t="s">
        <v>326</v>
      </c>
      <c r="L185" s="203" t="s">
        <v>327</v>
      </c>
      <c r="M185" s="203" t="s">
        <v>328</v>
      </c>
      <c r="N185" s="203" t="s">
        <v>329</v>
      </c>
    </row>
    <row r="186" spans="1:14" x14ac:dyDescent="0.25">
      <c r="A186" s="197" t="s">
        <v>334</v>
      </c>
    </row>
    <row r="187" spans="1:14" ht="45" x14ac:dyDescent="0.25">
      <c r="A187" s="197" t="s">
        <v>335</v>
      </c>
    </row>
    <row r="188" spans="1:14" ht="60" x14ac:dyDescent="0.25">
      <c r="A188" s="197" t="s">
        <v>336</v>
      </c>
    </row>
    <row r="189" spans="1:14" ht="45" x14ac:dyDescent="0.25">
      <c r="A189" s="197" t="s">
        <v>337</v>
      </c>
    </row>
    <row r="190" spans="1:14" ht="45" x14ac:dyDescent="0.25">
      <c r="A190" s="197" t="s">
        <v>338</v>
      </c>
    </row>
    <row r="191" spans="1:14" ht="60" x14ac:dyDescent="0.25">
      <c r="A191" s="204" t="s">
        <v>339</v>
      </c>
    </row>
    <row r="195" spans="1:14" x14ac:dyDescent="0.25">
      <c r="A195" s="203" t="s">
        <v>314</v>
      </c>
      <c r="B195" s="203" t="s">
        <v>318</v>
      </c>
      <c r="C195" s="203" t="s">
        <v>319</v>
      </c>
      <c r="D195" s="203" t="s">
        <v>320</v>
      </c>
      <c r="E195" s="203" t="s">
        <v>321</v>
      </c>
      <c r="F195" s="203" t="s">
        <v>54</v>
      </c>
      <c r="G195" s="203" t="s">
        <v>322</v>
      </c>
      <c r="H195" s="203" t="s">
        <v>323</v>
      </c>
      <c r="I195" s="203" t="s">
        <v>324</v>
      </c>
      <c r="J195" s="203" t="s">
        <v>325</v>
      </c>
      <c r="K195" s="203" t="s">
        <v>326</v>
      </c>
      <c r="L195" s="203" t="s">
        <v>327</v>
      </c>
      <c r="M195" s="203" t="s">
        <v>328</v>
      </c>
      <c r="N195" s="203" t="s">
        <v>329</v>
      </c>
    </row>
    <row r="196" spans="1:14" ht="45" x14ac:dyDescent="0.25">
      <c r="A196" s="204" t="s">
        <v>340</v>
      </c>
    </row>
    <row r="197" spans="1:14" x14ac:dyDescent="0.25">
      <c r="A197" s="197" t="s">
        <v>106</v>
      </c>
    </row>
    <row r="198" spans="1:14" ht="45" x14ac:dyDescent="0.25">
      <c r="A198" s="197" t="s">
        <v>341</v>
      </c>
    </row>
    <row r="199" spans="1:14" ht="45" x14ac:dyDescent="0.25">
      <c r="A199" s="197" t="s">
        <v>342</v>
      </c>
    </row>
    <row r="200" spans="1:14" ht="45" x14ac:dyDescent="0.25">
      <c r="A200" s="204" t="s">
        <v>343</v>
      </c>
    </row>
    <row r="201" spans="1:14" ht="60" x14ac:dyDescent="0.25">
      <c r="A201" s="197" t="s">
        <v>344</v>
      </c>
    </row>
    <row r="202" spans="1:14" ht="60" x14ac:dyDescent="0.25">
      <c r="A202" s="197" t="s">
        <v>345</v>
      </c>
    </row>
    <row r="203" spans="1:14" ht="75" x14ac:dyDescent="0.25">
      <c r="A203" s="197" t="s">
        <v>346</v>
      </c>
    </row>
    <row r="207" spans="1:14" x14ac:dyDescent="0.25">
      <c r="A207" s="203" t="s">
        <v>314</v>
      </c>
      <c r="B207" s="203" t="s">
        <v>318</v>
      </c>
      <c r="C207" s="203" t="s">
        <v>319</v>
      </c>
      <c r="D207" s="203" t="s">
        <v>320</v>
      </c>
      <c r="E207" s="203" t="s">
        <v>321</v>
      </c>
      <c r="F207" s="203" t="s">
        <v>54</v>
      </c>
      <c r="G207" s="203" t="s">
        <v>322</v>
      </c>
      <c r="H207" s="203" t="s">
        <v>323</v>
      </c>
      <c r="I207" s="203" t="s">
        <v>324</v>
      </c>
      <c r="J207" s="203" t="s">
        <v>325</v>
      </c>
      <c r="K207" s="203" t="s">
        <v>326</v>
      </c>
      <c r="L207" s="203" t="s">
        <v>327</v>
      </c>
      <c r="M207" s="203" t="s">
        <v>328</v>
      </c>
      <c r="N207" s="203" t="s">
        <v>329</v>
      </c>
    </row>
    <row r="208" spans="1:14" ht="30" x14ac:dyDescent="0.25">
      <c r="A208" s="197" t="s">
        <v>347</v>
      </c>
    </row>
    <row r="209" spans="1:14" ht="30" x14ac:dyDescent="0.25">
      <c r="A209" s="197" t="s">
        <v>348</v>
      </c>
    </row>
    <row r="210" spans="1:14" ht="45" x14ac:dyDescent="0.25">
      <c r="A210" s="204" t="s">
        <v>349</v>
      </c>
    </row>
    <row r="211" spans="1:14" ht="45" x14ac:dyDescent="0.25">
      <c r="A211" s="197" t="s">
        <v>350</v>
      </c>
    </row>
    <row r="212" spans="1:14" ht="30" x14ac:dyDescent="0.25">
      <c r="A212" s="197" t="s">
        <v>351</v>
      </c>
    </row>
    <row r="213" spans="1:14" ht="60" x14ac:dyDescent="0.25">
      <c r="A213" s="197" t="s">
        <v>352</v>
      </c>
    </row>
    <row r="217" spans="1:14" x14ac:dyDescent="0.25">
      <c r="A217" s="203" t="s">
        <v>314</v>
      </c>
      <c r="B217" s="203" t="s">
        <v>318</v>
      </c>
      <c r="C217" s="203" t="s">
        <v>319</v>
      </c>
      <c r="D217" s="203" t="s">
        <v>320</v>
      </c>
      <c r="E217" s="203" t="s">
        <v>321</v>
      </c>
      <c r="F217" s="203" t="s">
        <v>54</v>
      </c>
      <c r="G217" s="203" t="s">
        <v>322</v>
      </c>
      <c r="H217" s="203" t="s">
        <v>323</v>
      </c>
      <c r="I217" s="203" t="s">
        <v>324</v>
      </c>
      <c r="J217" s="203" t="s">
        <v>325</v>
      </c>
      <c r="K217" s="203" t="s">
        <v>326</v>
      </c>
      <c r="L217" s="203" t="s">
        <v>327</v>
      </c>
      <c r="M217" s="203" t="s">
        <v>328</v>
      </c>
      <c r="N217" s="203" t="s">
        <v>329</v>
      </c>
    </row>
    <row r="218" spans="1:14" ht="30" x14ac:dyDescent="0.25">
      <c r="A218" s="197" t="s">
        <v>68</v>
      </c>
    </row>
    <row r="219" spans="1:14" ht="45" x14ac:dyDescent="0.25">
      <c r="A219" s="197" t="s">
        <v>353</v>
      </c>
    </row>
    <row r="220" spans="1:14" ht="75" x14ac:dyDescent="0.25">
      <c r="A220" s="197" t="s">
        <v>354</v>
      </c>
    </row>
    <row r="221" spans="1:14" x14ac:dyDescent="0.25">
      <c r="A221" s="197" t="s">
        <v>355</v>
      </c>
    </row>
    <row r="222" spans="1:14" ht="60" x14ac:dyDescent="0.25">
      <c r="A222" s="197" t="s">
        <v>356</v>
      </c>
    </row>
    <row r="226" spans="1:14" x14ac:dyDescent="0.25">
      <c r="A226" s="203" t="s">
        <v>314</v>
      </c>
      <c r="B226" s="203" t="s">
        <v>318</v>
      </c>
      <c r="C226" s="203" t="s">
        <v>319</v>
      </c>
      <c r="D226" s="203" t="s">
        <v>320</v>
      </c>
      <c r="E226" s="203" t="s">
        <v>321</v>
      </c>
      <c r="F226" s="203" t="s">
        <v>54</v>
      </c>
      <c r="G226" s="203" t="s">
        <v>322</v>
      </c>
      <c r="H226" s="203" t="s">
        <v>323</v>
      </c>
      <c r="I226" s="203" t="s">
        <v>324</v>
      </c>
      <c r="J226" s="203" t="s">
        <v>325</v>
      </c>
      <c r="K226" s="203" t="s">
        <v>326</v>
      </c>
      <c r="L226" s="203" t="s">
        <v>327</v>
      </c>
      <c r="M226" s="203" t="s">
        <v>328</v>
      </c>
      <c r="N226" s="203" t="s">
        <v>329</v>
      </c>
    </row>
    <row r="227" spans="1:14" ht="45" x14ac:dyDescent="0.25">
      <c r="A227" s="197" t="s">
        <v>357</v>
      </c>
    </row>
    <row r="228" spans="1:14" ht="60" x14ac:dyDescent="0.25">
      <c r="A228" s="197" t="s">
        <v>358</v>
      </c>
    </row>
    <row r="229" spans="1:14" ht="30" x14ac:dyDescent="0.25">
      <c r="A229" s="204" t="s">
        <v>359</v>
      </c>
    </row>
    <row r="230" spans="1:14" ht="30" x14ac:dyDescent="0.25">
      <c r="A230" s="204" t="s">
        <v>360</v>
      </c>
    </row>
    <row r="231" spans="1:14" ht="30" x14ac:dyDescent="0.25">
      <c r="A231" s="197" t="s">
        <v>361</v>
      </c>
    </row>
    <row r="235" spans="1:14" x14ac:dyDescent="0.25">
      <c r="A235" s="261" t="s">
        <v>362</v>
      </c>
      <c r="B235" s="262"/>
      <c r="C235" s="262"/>
      <c r="D235" s="262"/>
      <c r="E235" s="262"/>
      <c r="F235" s="262"/>
      <c r="G235" s="262"/>
      <c r="H235" s="262"/>
      <c r="I235" s="262"/>
      <c r="J235" s="262"/>
      <c r="K235" s="262"/>
      <c r="L235" s="262"/>
      <c r="M235" s="262"/>
      <c r="N235" s="262"/>
    </row>
    <row r="236" spans="1:14" x14ac:dyDescent="0.25">
      <c r="A236" s="203" t="s">
        <v>314</v>
      </c>
      <c r="B236" s="203" t="s">
        <v>318</v>
      </c>
      <c r="C236" s="203" t="s">
        <v>319</v>
      </c>
      <c r="D236" s="203" t="s">
        <v>320</v>
      </c>
      <c r="E236" s="203" t="s">
        <v>321</v>
      </c>
      <c r="F236" s="203" t="s">
        <v>54</v>
      </c>
      <c r="G236" s="203" t="s">
        <v>322</v>
      </c>
      <c r="H236" s="203" t="s">
        <v>323</v>
      </c>
      <c r="I236" s="203" t="s">
        <v>324</v>
      </c>
      <c r="J236" s="203" t="s">
        <v>325</v>
      </c>
      <c r="K236" s="203" t="s">
        <v>326</v>
      </c>
      <c r="L236" s="203" t="s">
        <v>327</v>
      </c>
      <c r="M236" s="203" t="s">
        <v>328</v>
      </c>
      <c r="N236" s="203" t="s">
        <v>329</v>
      </c>
    </row>
    <row r="237" spans="1:14" x14ac:dyDescent="0.25">
      <c r="A237" s="197" t="s">
        <v>315</v>
      </c>
    </row>
    <row r="238" spans="1:14" ht="30" x14ac:dyDescent="0.25">
      <c r="A238" s="197" t="s">
        <v>68</v>
      </c>
    </row>
    <row r="239" spans="1:14" x14ac:dyDescent="0.25">
      <c r="A239" s="197" t="s">
        <v>316</v>
      </c>
    </row>
    <row r="240" spans="1:14" ht="45" x14ac:dyDescent="0.25">
      <c r="A240" s="197" t="s">
        <v>317</v>
      </c>
    </row>
    <row r="245" spans="1:14" x14ac:dyDescent="0.25">
      <c r="A245" s="203" t="s">
        <v>314</v>
      </c>
      <c r="B245" s="203" t="s">
        <v>318</v>
      </c>
      <c r="C245" s="203" t="s">
        <v>319</v>
      </c>
      <c r="D245" s="203" t="s">
        <v>320</v>
      </c>
      <c r="E245" s="203" t="s">
        <v>321</v>
      </c>
      <c r="F245" s="203" t="s">
        <v>54</v>
      </c>
      <c r="G245" s="203" t="s">
        <v>322</v>
      </c>
      <c r="H245" s="203" t="s">
        <v>323</v>
      </c>
      <c r="I245" s="203" t="s">
        <v>324</v>
      </c>
      <c r="J245" s="203" t="s">
        <v>325</v>
      </c>
      <c r="K245" s="203" t="s">
        <v>326</v>
      </c>
      <c r="L245" s="203" t="s">
        <v>327</v>
      </c>
      <c r="M245" s="203" t="s">
        <v>328</v>
      </c>
      <c r="N245" s="203" t="s">
        <v>329</v>
      </c>
    </row>
    <row r="246" spans="1:14" ht="60" x14ac:dyDescent="0.25">
      <c r="A246" s="197" t="s">
        <v>330</v>
      </c>
    </row>
    <row r="247" spans="1:14" ht="45" x14ac:dyDescent="0.25">
      <c r="A247" s="197" t="s">
        <v>331</v>
      </c>
    </row>
    <row r="248" spans="1:14" ht="30" x14ac:dyDescent="0.25">
      <c r="A248" s="197" t="s">
        <v>332</v>
      </c>
    </row>
    <row r="249" spans="1:14" ht="60" x14ac:dyDescent="0.25">
      <c r="A249" s="197" t="s">
        <v>333</v>
      </c>
    </row>
    <row r="253" spans="1:14" x14ac:dyDescent="0.25">
      <c r="A253" s="203" t="s">
        <v>314</v>
      </c>
      <c r="B253" s="203" t="s">
        <v>318</v>
      </c>
      <c r="C253" s="203" t="s">
        <v>319</v>
      </c>
      <c r="D253" s="203" t="s">
        <v>320</v>
      </c>
      <c r="E253" s="203" t="s">
        <v>321</v>
      </c>
      <c r="F253" s="203" t="s">
        <v>54</v>
      </c>
      <c r="G253" s="203" t="s">
        <v>322</v>
      </c>
      <c r="H253" s="203" t="s">
        <v>323</v>
      </c>
      <c r="I253" s="203" t="s">
        <v>324</v>
      </c>
      <c r="J253" s="203" t="s">
        <v>325</v>
      </c>
      <c r="K253" s="203" t="s">
        <v>326</v>
      </c>
      <c r="L253" s="203" t="s">
        <v>327</v>
      </c>
      <c r="M253" s="203" t="s">
        <v>328</v>
      </c>
      <c r="N253" s="203" t="s">
        <v>329</v>
      </c>
    </row>
    <row r="254" spans="1:14" x14ac:dyDescent="0.25">
      <c r="A254" s="197" t="s">
        <v>334</v>
      </c>
    </row>
    <row r="255" spans="1:14" ht="45" x14ac:dyDescent="0.25">
      <c r="A255" s="197" t="s">
        <v>335</v>
      </c>
    </row>
    <row r="256" spans="1:14" ht="60" x14ac:dyDescent="0.25">
      <c r="A256" s="197" t="s">
        <v>336</v>
      </c>
    </row>
    <row r="257" spans="1:14" ht="45" x14ac:dyDescent="0.25">
      <c r="A257" s="197" t="s">
        <v>337</v>
      </c>
    </row>
    <row r="258" spans="1:14" ht="45" x14ac:dyDescent="0.25">
      <c r="A258" s="197" t="s">
        <v>338</v>
      </c>
    </row>
    <row r="259" spans="1:14" ht="60" x14ac:dyDescent="0.25">
      <c r="A259" s="204" t="s">
        <v>339</v>
      </c>
    </row>
    <row r="263" spans="1:14" x14ac:dyDescent="0.25">
      <c r="A263" s="203" t="s">
        <v>314</v>
      </c>
      <c r="B263" s="203" t="s">
        <v>318</v>
      </c>
      <c r="C263" s="203" t="s">
        <v>319</v>
      </c>
      <c r="D263" s="203" t="s">
        <v>320</v>
      </c>
      <c r="E263" s="203" t="s">
        <v>321</v>
      </c>
      <c r="F263" s="203" t="s">
        <v>54</v>
      </c>
      <c r="G263" s="203" t="s">
        <v>322</v>
      </c>
      <c r="H263" s="203" t="s">
        <v>323</v>
      </c>
      <c r="I263" s="203" t="s">
        <v>324</v>
      </c>
      <c r="J263" s="203" t="s">
        <v>325</v>
      </c>
      <c r="K263" s="203" t="s">
        <v>326</v>
      </c>
      <c r="L263" s="203" t="s">
        <v>327</v>
      </c>
      <c r="M263" s="203" t="s">
        <v>328</v>
      </c>
      <c r="N263" s="203" t="s">
        <v>329</v>
      </c>
    </row>
    <row r="264" spans="1:14" ht="45" x14ac:dyDescent="0.25">
      <c r="A264" s="204" t="s">
        <v>340</v>
      </c>
    </row>
    <row r="265" spans="1:14" x14ac:dyDescent="0.25">
      <c r="A265" s="197" t="s">
        <v>106</v>
      </c>
    </row>
    <row r="266" spans="1:14" ht="45" x14ac:dyDescent="0.25">
      <c r="A266" s="197" t="s">
        <v>341</v>
      </c>
    </row>
    <row r="267" spans="1:14" ht="45" x14ac:dyDescent="0.25">
      <c r="A267" s="197" t="s">
        <v>342</v>
      </c>
    </row>
    <row r="268" spans="1:14" ht="45" x14ac:dyDescent="0.25">
      <c r="A268" s="204" t="s">
        <v>343</v>
      </c>
    </row>
    <row r="269" spans="1:14" ht="60" x14ac:dyDescent="0.25">
      <c r="A269" s="197" t="s">
        <v>344</v>
      </c>
    </row>
    <row r="270" spans="1:14" ht="60" x14ac:dyDescent="0.25">
      <c r="A270" s="197" t="s">
        <v>345</v>
      </c>
    </row>
    <row r="271" spans="1:14" ht="75" x14ac:dyDescent="0.25">
      <c r="A271" s="197" t="s">
        <v>346</v>
      </c>
    </row>
    <row r="275" spans="1:14" x14ac:dyDescent="0.25">
      <c r="A275" s="203" t="s">
        <v>314</v>
      </c>
      <c r="B275" s="203" t="s">
        <v>318</v>
      </c>
      <c r="C275" s="203" t="s">
        <v>319</v>
      </c>
      <c r="D275" s="203" t="s">
        <v>320</v>
      </c>
      <c r="E275" s="203" t="s">
        <v>321</v>
      </c>
      <c r="F275" s="203" t="s">
        <v>54</v>
      </c>
      <c r="G275" s="203" t="s">
        <v>322</v>
      </c>
      <c r="H275" s="203" t="s">
        <v>323</v>
      </c>
      <c r="I275" s="203" t="s">
        <v>324</v>
      </c>
      <c r="J275" s="203" t="s">
        <v>325</v>
      </c>
      <c r="K275" s="203" t="s">
        <v>326</v>
      </c>
      <c r="L275" s="203" t="s">
        <v>327</v>
      </c>
      <c r="M275" s="203" t="s">
        <v>328</v>
      </c>
      <c r="N275" s="203" t="s">
        <v>329</v>
      </c>
    </row>
    <row r="276" spans="1:14" ht="30" x14ac:dyDescent="0.25">
      <c r="A276" s="197" t="s">
        <v>347</v>
      </c>
    </row>
    <row r="277" spans="1:14" ht="30" x14ac:dyDescent="0.25">
      <c r="A277" s="197" t="s">
        <v>348</v>
      </c>
    </row>
    <row r="278" spans="1:14" ht="45" x14ac:dyDescent="0.25">
      <c r="A278" s="204" t="s">
        <v>349</v>
      </c>
    </row>
    <row r="279" spans="1:14" ht="45" x14ac:dyDescent="0.25">
      <c r="A279" s="197" t="s">
        <v>350</v>
      </c>
    </row>
    <row r="280" spans="1:14" ht="30" x14ac:dyDescent="0.25">
      <c r="A280" s="197" t="s">
        <v>351</v>
      </c>
    </row>
    <row r="281" spans="1:14" ht="60" x14ac:dyDescent="0.25">
      <c r="A281" s="197" t="s">
        <v>352</v>
      </c>
    </row>
    <row r="285" spans="1:14" x14ac:dyDescent="0.25">
      <c r="A285" s="203" t="s">
        <v>314</v>
      </c>
      <c r="B285" s="203" t="s">
        <v>318</v>
      </c>
      <c r="C285" s="203" t="s">
        <v>319</v>
      </c>
      <c r="D285" s="203" t="s">
        <v>320</v>
      </c>
      <c r="E285" s="203" t="s">
        <v>321</v>
      </c>
      <c r="F285" s="203" t="s">
        <v>54</v>
      </c>
      <c r="G285" s="203" t="s">
        <v>322</v>
      </c>
      <c r="H285" s="203" t="s">
        <v>323</v>
      </c>
      <c r="I285" s="203" t="s">
        <v>324</v>
      </c>
      <c r="J285" s="203" t="s">
        <v>325</v>
      </c>
      <c r="K285" s="203" t="s">
        <v>326</v>
      </c>
      <c r="L285" s="203" t="s">
        <v>327</v>
      </c>
      <c r="M285" s="203" t="s">
        <v>328</v>
      </c>
      <c r="N285" s="203" t="s">
        <v>329</v>
      </c>
    </row>
    <row r="286" spans="1:14" ht="30" x14ac:dyDescent="0.25">
      <c r="A286" s="197" t="s">
        <v>68</v>
      </c>
    </row>
    <row r="287" spans="1:14" ht="45" x14ac:dyDescent="0.25">
      <c r="A287" s="197" t="s">
        <v>353</v>
      </c>
    </row>
    <row r="288" spans="1:14" ht="75" x14ac:dyDescent="0.25">
      <c r="A288" s="197" t="s">
        <v>354</v>
      </c>
    </row>
    <row r="289" spans="1:14" x14ac:dyDescent="0.25">
      <c r="A289" s="197" t="s">
        <v>355</v>
      </c>
    </row>
    <row r="290" spans="1:14" ht="60" x14ac:dyDescent="0.25">
      <c r="A290" s="197" t="s">
        <v>356</v>
      </c>
    </row>
    <row r="294" spans="1:14" x14ac:dyDescent="0.25">
      <c r="A294" s="203" t="s">
        <v>314</v>
      </c>
      <c r="B294" s="203" t="s">
        <v>318</v>
      </c>
      <c r="C294" s="203" t="s">
        <v>319</v>
      </c>
      <c r="D294" s="203" t="s">
        <v>320</v>
      </c>
      <c r="E294" s="203" t="s">
        <v>321</v>
      </c>
      <c r="F294" s="203" t="s">
        <v>54</v>
      </c>
      <c r="G294" s="203" t="s">
        <v>322</v>
      </c>
      <c r="H294" s="203" t="s">
        <v>323</v>
      </c>
      <c r="I294" s="203" t="s">
        <v>324</v>
      </c>
      <c r="J294" s="203" t="s">
        <v>325</v>
      </c>
      <c r="K294" s="203" t="s">
        <v>326</v>
      </c>
      <c r="L294" s="203" t="s">
        <v>327</v>
      </c>
      <c r="M294" s="203" t="s">
        <v>328</v>
      </c>
      <c r="N294" s="203" t="s">
        <v>329</v>
      </c>
    </row>
    <row r="295" spans="1:14" ht="45" x14ac:dyDescent="0.25">
      <c r="A295" s="197" t="s">
        <v>357</v>
      </c>
    </row>
    <row r="296" spans="1:14" ht="60" x14ac:dyDescent="0.25">
      <c r="A296" s="197" t="s">
        <v>358</v>
      </c>
    </row>
    <row r="297" spans="1:14" ht="30" x14ac:dyDescent="0.25">
      <c r="A297" s="204" t="s">
        <v>359</v>
      </c>
    </row>
    <row r="298" spans="1:14" ht="30" x14ac:dyDescent="0.25">
      <c r="A298" s="204" t="s">
        <v>360</v>
      </c>
    </row>
    <row r="299" spans="1:14" ht="30" x14ac:dyDescent="0.25">
      <c r="A299" s="197" t="s">
        <v>361</v>
      </c>
    </row>
    <row r="303" spans="1:14" x14ac:dyDescent="0.25">
      <c r="A303" s="261" t="s">
        <v>362</v>
      </c>
      <c r="B303" s="262"/>
      <c r="C303" s="262"/>
      <c r="D303" s="262"/>
      <c r="E303" s="262"/>
      <c r="F303" s="262"/>
      <c r="G303" s="262"/>
      <c r="H303" s="262"/>
      <c r="I303" s="262"/>
      <c r="J303" s="262"/>
      <c r="K303" s="262"/>
      <c r="L303" s="262"/>
      <c r="M303" s="262"/>
      <c r="N303" s="262"/>
    </row>
    <row r="304" spans="1:14" x14ac:dyDescent="0.25">
      <c r="A304" s="203" t="s">
        <v>314</v>
      </c>
      <c r="B304" s="203" t="s">
        <v>318</v>
      </c>
      <c r="C304" s="203" t="s">
        <v>319</v>
      </c>
      <c r="D304" s="203" t="s">
        <v>320</v>
      </c>
      <c r="E304" s="203" t="s">
        <v>321</v>
      </c>
      <c r="F304" s="203" t="s">
        <v>54</v>
      </c>
      <c r="G304" s="203" t="s">
        <v>322</v>
      </c>
      <c r="H304" s="203" t="s">
        <v>323</v>
      </c>
      <c r="I304" s="203" t="s">
        <v>324</v>
      </c>
      <c r="J304" s="203" t="s">
        <v>325</v>
      </c>
      <c r="K304" s="203" t="s">
        <v>326</v>
      </c>
      <c r="L304" s="203" t="s">
        <v>327</v>
      </c>
      <c r="M304" s="203" t="s">
        <v>328</v>
      </c>
      <c r="N304" s="203" t="s">
        <v>329</v>
      </c>
    </row>
    <row r="305" spans="1:14" x14ac:dyDescent="0.25">
      <c r="A305" s="197" t="s">
        <v>315</v>
      </c>
    </row>
    <row r="306" spans="1:14" ht="30" x14ac:dyDescent="0.25">
      <c r="A306" s="197" t="s">
        <v>68</v>
      </c>
    </row>
    <row r="307" spans="1:14" x14ac:dyDescent="0.25">
      <c r="A307" s="197" t="s">
        <v>316</v>
      </c>
    </row>
    <row r="308" spans="1:14" ht="45" x14ac:dyDescent="0.25">
      <c r="A308" s="197" t="s">
        <v>317</v>
      </c>
    </row>
    <row r="313" spans="1:14" x14ac:dyDescent="0.25">
      <c r="A313" s="203" t="s">
        <v>314</v>
      </c>
      <c r="B313" s="203" t="s">
        <v>318</v>
      </c>
      <c r="C313" s="203" t="s">
        <v>319</v>
      </c>
      <c r="D313" s="203" t="s">
        <v>320</v>
      </c>
      <c r="E313" s="203" t="s">
        <v>321</v>
      </c>
      <c r="F313" s="203" t="s">
        <v>54</v>
      </c>
      <c r="G313" s="203" t="s">
        <v>322</v>
      </c>
      <c r="H313" s="203" t="s">
        <v>323</v>
      </c>
      <c r="I313" s="203" t="s">
        <v>324</v>
      </c>
      <c r="J313" s="203" t="s">
        <v>325</v>
      </c>
      <c r="K313" s="203" t="s">
        <v>326</v>
      </c>
      <c r="L313" s="203" t="s">
        <v>327</v>
      </c>
      <c r="M313" s="203" t="s">
        <v>328</v>
      </c>
      <c r="N313" s="203" t="s">
        <v>329</v>
      </c>
    </row>
    <row r="314" spans="1:14" ht="60" x14ac:dyDescent="0.25">
      <c r="A314" s="197" t="s">
        <v>330</v>
      </c>
    </row>
    <row r="315" spans="1:14" ht="45" x14ac:dyDescent="0.25">
      <c r="A315" s="197" t="s">
        <v>331</v>
      </c>
    </row>
    <row r="316" spans="1:14" ht="30" x14ac:dyDescent="0.25">
      <c r="A316" s="197" t="s">
        <v>332</v>
      </c>
    </row>
    <row r="317" spans="1:14" ht="60" x14ac:dyDescent="0.25">
      <c r="A317" s="197" t="s">
        <v>333</v>
      </c>
    </row>
    <row r="321" spans="1:14" x14ac:dyDescent="0.25">
      <c r="A321" s="203" t="s">
        <v>314</v>
      </c>
      <c r="B321" s="203" t="s">
        <v>318</v>
      </c>
      <c r="C321" s="203" t="s">
        <v>319</v>
      </c>
      <c r="D321" s="203" t="s">
        <v>320</v>
      </c>
      <c r="E321" s="203" t="s">
        <v>321</v>
      </c>
      <c r="F321" s="203" t="s">
        <v>54</v>
      </c>
      <c r="G321" s="203" t="s">
        <v>322</v>
      </c>
      <c r="H321" s="203" t="s">
        <v>323</v>
      </c>
      <c r="I321" s="203" t="s">
        <v>324</v>
      </c>
      <c r="J321" s="203" t="s">
        <v>325</v>
      </c>
      <c r="K321" s="203" t="s">
        <v>326</v>
      </c>
      <c r="L321" s="203" t="s">
        <v>327</v>
      </c>
      <c r="M321" s="203" t="s">
        <v>328</v>
      </c>
      <c r="N321" s="203" t="s">
        <v>329</v>
      </c>
    </row>
    <row r="322" spans="1:14" x14ac:dyDescent="0.25">
      <c r="A322" s="197" t="s">
        <v>334</v>
      </c>
    </row>
    <row r="323" spans="1:14" ht="45" x14ac:dyDescent="0.25">
      <c r="A323" s="197" t="s">
        <v>335</v>
      </c>
    </row>
    <row r="324" spans="1:14" ht="60" x14ac:dyDescent="0.25">
      <c r="A324" s="197" t="s">
        <v>336</v>
      </c>
    </row>
    <row r="325" spans="1:14" ht="45" x14ac:dyDescent="0.25">
      <c r="A325" s="197" t="s">
        <v>337</v>
      </c>
    </row>
    <row r="326" spans="1:14" ht="45" x14ac:dyDescent="0.25">
      <c r="A326" s="197" t="s">
        <v>338</v>
      </c>
    </row>
    <row r="327" spans="1:14" ht="60" x14ac:dyDescent="0.25">
      <c r="A327" s="204" t="s">
        <v>339</v>
      </c>
    </row>
    <row r="331" spans="1:14" x14ac:dyDescent="0.25">
      <c r="A331" s="203" t="s">
        <v>314</v>
      </c>
      <c r="B331" s="203" t="s">
        <v>318</v>
      </c>
      <c r="C331" s="203" t="s">
        <v>319</v>
      </c>
      <c r="D331" s="203" t="s">
        <v>320</v>
      </c>
      <c r="E331" s="203" t="s">
        <v>321</v>
      </c>
      <c r="F331" s="203" t="s">
        <v>54</v>
      </c>
      <c r="G331" s="203" t="s">
        <v>322</v>
      </c>
      <c r="H331" s="203" t="s">
        <v>323</v>
      </c>
      <c r="I331" s="203" t="s">
        <v>324</v>
      </c>
      <c r="J331" s="203" t="s">
        <v>325</v>
      </c>
      <c r="K331" s="203" t="s">
        <v>326</v>
      </c>
      <c r="L331" s="203" t="s">
        <v>327</v>
      </c>
      <c r="M331" s="203" t="s">
        <v>328</v>
      </c>
      <c r="N331" s="203" t="s">
        <v>329</v>
      </c>
    </row>
    <row r="332" spans="1:14" ht="45" x14ac:dyDescent="0.25">
      <c r="A332" s="204" t="s">
        <v>340</v>
      </c>
    </row>
    <row r="333" spans="1:14" x14ac:dyDescent="0.25">
      <c r="A333" s="197" t="s">
        <v>106</v>
      </c>
    </row>
    <row r="334" spans="1:14" ht="45" x14ac:dyDescent="0.25">
      <c r="A334" s="197" t="s">
        <v>341</v>
      </c>
    </row>
    <row r="335" spans="1:14" ht="45" x14ac:dyDescent="0.25">
      <c r="A335" s="197" t="s">
        <v>342</v>
      </c>
    </row>
    <row r="336" spans="1:14" ht="45" x14ac:dyDescent="0.25">
      <c r="A336" s="204" t="s">
        <v>343</v>
      </c>
    </row>
    <row r="337" spans="1:14" ht="60" x14ac:dyDescent="0.25">
      <c r="A337" s="197" t="s">
        <v>344</v>
      </c>
    </row>
    <row r="338" spans="1:14" ht="60" x14ac:dyDescent="0.25">
      <c r="A338" s="197" t="s">
        <v>345</v>
      </c>
    </row>
    <row r="339" spans="1:14" ht="75" x14ac:dyDescent="0.25">
      <c r="A339" s="197" t="s">
        <v>346</v>
      </c>
    </row>
    <row r="343" spans="1:14" x14ac:dyDescent="0.25">
      <c r="A343" s="203" t="s">
        <v>314</v>
      </c>
      <c r="B343" s="203" t="s">
        <v>318</v>
      </c>
      <c r="C343" s="203" t="s">
        <v>319</v>
      </c>
      <c r="D343" s="203" t="s">
        <v>320</v>
      </c>
      <c r="E343" s="203" t="s">
        <v>321</v>
      </c>
      <c r="F343" s="203" t="s">
        <v>54</v>
      </c>
      <c r="G343" s="203" t="s">
        <v>322</v>
      </c>
      <c r="H343" s="203" t="s">
        <v>323</v>
      </c>
      <c r="I343" s="203" t="s">
        <v>324</v>
      </c>
      <c r="J343" s="203" t="s">
        <v>325</v>
      </c>
      <c r="K343" s="203" t="s">
        <v>326</v>
      </c>
      <c r="L343" s="203" t="s">
        <v>327</v>
      </c>
      <c r="M343" s="203" t="s">
        <v>328</v>
      </c>
      <c r="N343" s="203" t="s">
        <v>329</v>
      </c>
    </row>
    <row r="344" spans="1:14" ht="30" x14ac:dyDescent="0.25">
      <c r="A344" s="197" t="s">
        <v>347</v>
      </c>
    </row>
    <row r="345" spans="1:14" ht="30" x14ac:dyDescent="0.25">
      <c r="A345" s="197" t="s">
        <v>348</v>
      </c>
    </row>
    <row r="346" spans="1:14" ht="45" x14ac:dyDescent="0.25">
      <c r="A346" s="204" t="s">
        <v>349</v>
      </c>
    </row>
    <row r="347" spans="1:14" ht="45" x14ac:dyDescent="0.25">
      <c r="A347" s="197" t="s">
        <v>350</v>
      </c>
    </row>
    <row r="348" spans="1:14" ht="30" x14ac:dyDescent="0.25">
      <c r="A348" s="197" t="s">
        <v>351</v>
      </c>
    </row>
    <row r="349" spans="1:14" ht="60" x14ac:dyDescent="0.25">
      <c r="A349" s="197" t="s">
        <v>352</v>
      </c>
    </row>
    <row r="353" spans="1:14" x14ac:dyDescent="0.25">
      <c r="A353" s="203" t="s">
        <v>314</v>
      </c>
      <c r="B353" s="203" t="s">
        <v>318</v>
      </c>
      <c r="C353" s="203" t="s">
        <v>319</v>
      </c>
      <c r="D353" s="203" t="s">
        <v>320</v>
      </c>
      <c r="E353" s="203" t="s">
        <v>321</v>
      </c>
      <c r="F353" s="203" t="s">
        <v>54</v>
      </c>
      <c r="G353" s="203" t="s">
        <v>322</v>
      </c>
      <c r="H353" s="203" t="s">
        <v>323</v>
      </c>
      <c r="I353" s="203" t="s">
        <v>324</v>
      </c>
      <c r="J353" s="203" t="s">
        <v>325</v>
      </c>
      <c r="K353" s="203" t="s">
        <v>326</v>
      </c>
      <c r="L353" s="203" t="s">
        <v>327</v>
      </c>
      <c r="M353" s="203" t="s">
        <v>328</v>
      </c>
      <c r="N353" s="203" t="s">
        <v>329</v>
      </c>
    </row>
    <row r="354" spans="1:14" ht="30" x14ac:dyDescent="0.25">
      <c r="A354" s="197" t="s">
        <v>68</v>
      </c>
    </row>
    <row r="355" spans="1:14" ht="45" x14ac:dyDescent="0.25">
      <c r="A355" s="197" t="s">
        <v>353</v>
      </c>
    </row>
    <row r="356" spans="1:14" ht="75" x14ac:dyDescent="0.25">
      <c r="A356" s="197" t="s">
        <v>354</v>
      </c>
    </row>
    <row r="357" spans="1:14" x14ac:dyDescent="0.25">
      <c r="A357" s="197" t="s">
        <v>355</v>
      </c>
    </row>
    <row r="358" spans="1:14" ht="60" x14ac:dyDescent="0.25">
      <c r="A358" s="197" t="s">
        <v>356</v>
      </c>
    </row>
    <row r="362" spans="1:14" x14ac:dyDescent="0.25">
      <c r="A362" s="203" t="s">
        <v>314</v>
      </c>
      <c r="B362" s="203" t="s">
        <v>318</v>
      </c>
      <c r="C362" s="203" t="s">
        <v>319</v>
      </c>
      <c r="D362" s="203" t="s">
        <v>320</v>
      </c>
      <c r="E362" s="203" t="s">
        <v>321</v>
      </c>
      <c r="F362" s="203" t="s">
        <v>54</v>
      </c>
      <c r="G362" s="203" t="s">
        <v>322</v>
      </c>
      <c r="H362" s="203" t="s">
        <v>323</v>
      </c>
      <c r="I362" s="203" t="s">
        <v>324</v>
      </c>
      <c r="J362" s="203" t="s">
        <v>325</v>
      </c>
      <c r="K362" s="203" t="s">
        <v>326</v>
      </c>
      <c r="L362" s="203" t="s">
        <v>327</v>
      </c>
      <c r="M362" s="203" t="s">
        <v>328</v>
      </c>
      <c r="N362" s="203" t="s">
        <v>329</v>
      </c>
    </row>
    <row r="363" spans="1:14" ht="45" x14ac:dyDescent="0.25">
      <c r="A363" s="197" t="s">
        <v>357</v>
      </c>
    </row>
    <row r="364" spans="1:14" ht="60" x14ac:dyDescent="0.25">
      <c r="A364" s="197" t="s">
        <v>358</v>
      </c>
    </row>
    <row r="365" spans="1:14" ht="30" x14ac:dyDescent="0.25">
      <c r="A365" s="204" t="s">
        <v>359</v>
      </c>
    </row>
    <row r="366" spans="1:14" ht="30" x14ac:dyDescent="0.25">
      <c r="A366" s="204" t="s">
        <v>360</v>
      </c>
    </row>
    <row r="367" spans="1:14" ht="30" x14ac:dyDescent="0.25">
      <c r="A367" s="197" t="s">
        <v>361</v>
      </c>
    </row>
  </sheetData>
  <mergeCells count="6">
    <mergeCell ref="A303:N303"/>
    <mergeCell ref="B1:O1"/>
    <mergeCell ref="A26:N26"/>
    <mergeCell ref="A96:N96"/>
    <mergeCell ref="A167:N167"/>
    <mergeCell ref="A235:N23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0D622A-D19F-47A2-B7E0-4400524F8A49}">
  <sheetPr>
    <tabColor theme="3" tint="0.499984740745262"/>
  </sheetPr>
  <dimension ref="A1:O367"/>
  <sheetViews>
    <sheetView topLeftCell="A16" workbookViewId="0">
      <selection activeCell="B10" sqref="B10"/>
    </sheetView>
  </sheetViews>
  <sheetFormatPr baseColWidth="10" defaultRowHeight="15" x14ac:dyDescent="0.25"/>
  <cols>
    <col min="1" max="1" width="25.140625" customWidth="1"/>
  </cols>
  <sheetData>
    <row r="1" spans="2:15" x14ac:dyDescent="0.25">
      <c r="B1" s="263" t="s">
        <v>296</v>
      </c>
      <c r="C1" s="262"/>
      <c r="D1" s="262"/>
      <c r="E1" s="262"/>
      <c r="F1" s="262"/>
      <c r="G1" s="262"/>
      <c r="H1" s="262"/>
      <c r="I1" s="262"/>
      <c r="J1" s="262"/>
      <c r="K1" s="262"/>
      <c r="L1" s="262"/>
      <c r="M1" s="262"/>
      <c r="N1" s="262"/>
      <c r="O1" s="262"/>
    </row>
    <row r="26" spans="1:14" x14ac:dyDescent="0.25">
      <c r="A26" s="261" t="s">
        <v>362</v>
      </c>
      <c r="B26" s="262"/>
      <c r="C26" s="262"/>
      <c r="D26" s="262"/>
      <c r="E26" s="262"/>
      <c r="F26" s="262"/>
      <c r="G26" s="262"/>
      <c r="H26" s="262"/>
      <c r="I26" s="262"/>
      <c r="J26" s="262"/>
      <c r="K26" s="262"/>
      <c r="L26" s="262"/>
      <c r="M26" s="262"/>
      <c r="N26" s="262"/>
    </row>
    <row r="27" spans="1:14" x14ac:dyDescent="0.25">
      <c r="A27" s="203" t="s">
        <v>314</v>
      </c>
      <c r="B27" s="203" t="s">
        <v>318</v>
      </c>
      <c r="C27" s="203" t="s">
        <v>319</v>
      </c>
      <c r="D27" s="203" t="s">
        <v>320</v>
      </c>
      <c r="E27" s="203" t="s">
        <v>321</v>
      </c>
      <c r="F27" s="203" t="s">
        <v>54</v>
      </c>
      <c r="G27" s="203" t="s">
        <v>322</v>
      </c>
      <c r="H27" s="203" t="s">
        <v>323</v>
      </c>
      <c r="I27" s="203" t="s">
        <v>324</v>
      </c>
      <c r="J27" s="203" t="s">
        <v>325</v>
      </c>
      <c r="K27" s="203" t="s">
        <v>326</v>
      </c>
      <c r="L27" s="203" t="s">
        <v>327</v>
      </c>
      <c r="M27" s="203" t="s">
        <v>328</v>
      </c>
      <c r="N27" s="203" t="s">
        <v>329</v>
      </c>
    </row>
    <row r="28" spans="1:14" x14ac:dyDescent="0.25">
      <c r="A28" s="197" t="s">
        <v>315</v>
      </c>
    </row>
    <row r="29" spans="1:14" x14ac:dyDescent="0.25">
      <c r="A29" s="197" t="s">
        <v>68</v>
      </c>
    </row>
    <row r="30" spans="1:14" x14ac:dyDescent="0.25">
      <c r="A30" s="197" t="s">
        <v>316</v>
      </c>
    </row>
    <row r="31" spans="1:14" ht="45" x14ac:dyDescent="0.25">
      <c r="A31" s="197" t="s">
        <v>317</v>
      </c>
    </row>
    <row r="36" spans="1:14" x14ac:dyDescent="0.25">
      <c r="A36" s="203" t="s">
        <v>314</v>
      </c>
      <c r="B36" s="203" t="s">
        <v>318</v>
      </c>
      <c r="C36" s="203" t="s">
        <v>319</v>
      </c>
      <c r="D36" s="203" t="s">
        <v>320</v>
      </c>
      <c r="E36" s="203" t="s">
        <v>321</v>
      </c>
      <c r="F36" s="203" t="s">
        <v>54</v>
      </c>
      <c r="G36" s="203" t="s">
        <v>322</v>
      </c>
      <c r="H36" s="203" t="s">
        <v>323</v>
      </c>
      <c r="I36" s="203" t="s">
        <v>324</v>
      </c>
      <c r="J36" s="203" t="s">
        <v>325</v>
      </c>
      <c r="K36" s="203" t="s">
        <v>326</v>
      </c>
      <c r="L36" s="203" t="s">
        <v>327</v>
      </c>
      <c r="M36" s="203" t="s">
        <v>328</v>
      </c>
      <c r="N36" s="203" t="s">
        <v>329</v>
      </c>
    </row>
    <row r="37" spans="1:14" ht="60" x14ac:dyDescent="0.25">
      <c r="A37" s="197" t="s">
        <v>330</v>
      </c>
    </row>
    <row r="38" spans="1:14" x14ac:dyDescent="0.25">
      <c r="A38" s="197" t="s">
        <v>331</v>
      </c>
    </row>
    <row r="39" spans="1:14" x14ac:dyDescent="0.25">
      <c r="A39" s="197" t="s">
        <v>332</v>
      </c>
    </row>
    <row r="40" spans="1:14" ht="30" x14ac:dyDescent="0.25">
      <c r="A40" s="197" t="s">
        <v>333</v>
      </c>
    </row>
    <row r="44" spans="1:14" x14ac:dyDescent="0.25">
      <c r="A44" s="203" t="s">
        <v>314</v>
      </c>
      <c r="B44" s="203" t="s">
        <v>318</v>
      </c>
      <c r="C44" s="203" t="s">
        <v>319</v>
      </c>
      <c r="D44" s="203" t="s">
        <v>320</v>
      </c>
      <c r="E44" s="203" t="s">
        <v>321</v>
      </c>
      <c r="F44" s="203" t="s">
        <v>54</v>
      </c>
      <c r="G44" s="203" t="s">
        <v>322</v>
      </c>
      <c r="H44" s="203" t="s">
        <v>323</v>
      </c>
      <c r="I44" s="203" t="s">
        <v>324</v>
      </c>
      <c r="J44" s="203" t="s">
        <v>325</v>
      </c>
      <c r="K44" s="203" t="s">
        <v>326</v>
      </c>
      <c r="L44" s="203" t="s">
        <v>327</v>
      </c>
      <c r="M44" s="203" t="s">
        <v>328</v>
      </c>
      <c r="N44" s="203" t="s">
        <v>329</v>
      </c>
    </row>
    <row r="45" spans="1:14" x14ac:dyDescent="0.25">
      <c r="A45" s="197" t="s">
        <v>334</v>
      </c>
    </row>
    <row r="46" spans="1:14" x14ac:dyDescent="0.25">
      <c r="A46" s="197" t="s">
        <v>335</v>
      </c>
    </row>
    <row r="47" spans="1:14" ht="30" x14ac:dyDescent="0.25">
      <c r="A47" s="197" t="s">
        <v>336</v>
      </c>
    </row>
    <row r="48" spans="1:14" x14ac:dyDescent="0.25">
      <c r="A48" s="197" t="s">
        <v>337</v>
      </c>
    </row>
    <row r="49" spans="1:14" ht="30" x14ac:dyDescent="0.25">
      <c r="A49" s="197" t="s">
        <v>338</v>
      </c>
    </row>
    <row r="50" spans="1:14" ht="30" x14ac:dyDescent="0.25">
      <c r="A50" s="204" t="s">
        <v>339</v>
      </c>
    </row>
    <row r="54" spans="1:14" x14ac:dyDescent="0.25">
      <c r="A54" s="203" t="s">
        <v>314</v>
      </c>
      <c r="B54" s="203" t="s">
        <v>318</v>
      </c>
      <c r="C54" s="203" t="s">
        <v>319</v>
      </c>
      <c r="D54" s="203" t="s">
        <v>320</v>
      </c>
      <c r="E54" s="203" t="s">
        <v>321</v>
      </c>
      <c r="F54" s="203" t="s">
        <v>54</v>
      </c>
      <c r="G54" s="203" t="s">
        <v>322</v>
      </c>
      <c r="H54" s="203" t="s">
        <v>323</v>
      </c>
      <c r="I54" s="203" t="s">
        <v>324</v>
      </c>
      <c r="J54" s="203" t="s">
        <v>325</v>
      </c>
      <c r="K54" s="203" t="s">
        <v>326</v>
      </c>
      <c r="L54" s="203" t="s">
        <v>327</v>
      </c>
      <c r="M54" s="203" t="s">
        <v>328</v>
      </c>
      <c r="N54" s="203" t="s">
        <v>329</v>
      </c>
    </row>
    <row r="55" spans="1:14" x14ac:dyDescent="0.25">
      <c r="A55" s="204" t="s">
        <v>340</v>
      </c>
    </row>
    <row r="56" spans="1:14" x14ac:dyDescent="0.25">
      <c r="A56" s="197" t="s">
        <v>106</v>
      </c>
    </row>
    <row r="57" spans="1:14" x14ac:dyDescent="0.25">
      <c r="A57" s="197" t="s">
        <v>341</v>
      </c>
    </row>
    <row r="58" spans="1:14" x14ac:dyDescent="0.25">
      <c r="A58" s="197" t="s">
        <v>342</v>
      </c>
    </row>
    <row r="59" spans="1:14" x14ac:dyDescent="0.25">
      <c r="A59" s="204" t="s">
        <v>343</v>
      </c>
    </row>
    <row r="60" spans="1:14" ht="30" x14ac:dyDescent="0.25">
      <c r="A60" s="197" t="s">
        <v>344</v>
      </c>
    </row>
    <row r="61" spans="1:14" ht="30" x14ac:dyDescent="0.25">
      <c r="A61" s="197" t="s">
        <v>345</v>
      </c>
    </row>
    <row r="62" spans="1:14" ht="30" x14ac:dyDescent="0.25">
      <c r="A62" s="197" t="s">
        <v>346</v>
      </c>
    </row>
    <row r="66" spans="1:14" x14ac:dyDescent="0.25">
      <c r="A66" s="203" t="s">
        <v>314</v>
      </c>
      <c r="B66" s="203" t="s">
        <v>318</v>
      </c>
      <c r="C66" s="203" t="s">
        <v>319</v>
      </c>
      <c r="D66" s="203" t="s">
        <v>320</v>
      </c>
      <c r="E66" s="203" t="s">
        <v>321</v>
      </c>
      <c r="F66" s="203" t="s">
        <v>54</v>
      </c>
      <c r="G66" s="203" t="s">
        <v>322</v>
      </c>
      <c r="H66" s="203" t="s">
        <v>323</v>
      </c>
      <c r="I66" s="203" t="s">
        <v>324</v>
      </c>
      <c r="J66" s="203" t="s">
        <v>325</v>
      </c>
      <c r="K66" s="203" t="s">
        <v>326</v>
      </c>
      <c r="L66" s="203" t="s">
        <v>327</v>
      </c>
      <c r="M66" s="203" t="s">
        <v>328</v>
      </c>
      <c r="N66" s="203" t="s">
        <v>329</v>
      </c>
    </row>
    <row r="67" spans="1:14" x14ac:dyDescent="0.25">
      <c r="A67" s="197" t="s">
        <v>347</v>
      </c>
    </row>
    <row r="68" spans="1:14" x14ac:dyDescent="0.25">
      <c r="A68" s="197" t="s">
        <v>348</v>
      </c>
    </row>
    <row r="69" spans="1:14" x14ac:dyDescent="0.25">
      <c r="A69" s="204" t="s">
        <v>349</v>
      </c>
    </row>
    <row r="70" spans="1:14" x14ac:dyDescent="0.25">
      <c r="A70" s="197" t="s">
        <v>350</v>
      </c>
    </row>
    <row r="71" spans="1:14" x14ac:dyDescent="0.25">
      <c r="A71" s="197" t="s">
        <v>351</v>
      </c>
    </row>
    <row r="72" spans="1:14" ht="30" x14ac:dyDescent="0.25">
      <c r="A72" s="197" t="s">
        <v>352</v>
      </c>
    </row>
    <row r="76" spans="1:14" x14ac:dyDescent="0.25">
      <c r="A76" s="203" t="s">
        <v>314</v>
      </c>
      <c r="B76" s="203" t="s">
        <v>318</v>
      </c>
      <c r="C76" s="203" t="s">
        <v>319</v>
      </c>
      <c r="D76" s="203" t="s">
        <v>320</v>
      </c>
      <c r="E76" s="203" t="s">
        <v>321</v>
      </c>
      <c r="F76" s="203" t="s">
        <v>54</v>
      </c>
      <c r="G76" s="203" t="s">
        <v>322</v>
      </c>
      <c r="H76" s="203" t="s">
        <v>323</v>
      </c>
      <c r="I76" s="203" t="s">
        <v>324</v>
      </c>
      <c r="J76" s="203" t="s">
        <v>325</v>
      </c>
      <c r="K76" s="203" t="s">
        <v>326</v>
      </c>
      <c r="L76" s="203" t="s">
        <v>327</v>
      </c>
      <c r="M76" s="203" t="s">
        <v>328</v>
      </c>
      <c r="N76" s="203" t="s">
        <v>329</v>
      </c>
    </row>
    <row r="77" spans="1:14" x14ac:dyDescent="0.25">
      <c r="A77" s="197" t="s">
        <v>68</v>
      </c>
    </row>
    <row r="78" spans="1:14" x14ac:dyDescent="0.25">
      <c r="A78" s="197" t="s">
        <v>353</v>
      </c>
    </row>
    <row r="79" spans="1:14" ht="30" x14ac:dyDescent="0.25">
      <c r="A79" s="197" t="s">
        <v>354</v>
      </c>
    </row>
    <row r="80" spans="1:14" x14ac:dyDescent="0.25">
      <c r="A80" s="197" t="s">
        <v>355</v>
      </c>
    </row>
    <row r="81" spans="1:14" ht="30" x14ac:dyDescent="0.25">
      <c r="A81" s="197" t="s">
        <v>356</v>
      </c>
    </row>
    <row r="85" spans="1:14" x14ac:dyDescent="0.25">
      <c r="A85" s="203" t="s">
        <v>314</v>
      </c>
      <c r="B85" s="203" t="s">
        <v>318</v>
      </c>
      <c r="C85" s="203" t="s">
        <v>319</v>
      </c>
      <c r="D85" s="203" t="s">
        <v>320</v>
      </c>
      <c r="E85" s="203" t="s">
        <v>321</v>
      </c>
      <c r="F85" s="203" t="s">
        <v>54</v>
      </c>
      <c r="G85" s="203" t="s">
        <v>322</v>
      </c>
      <c r="H85" s="203" t="s">
        <v>323</v>
      </c>
      <c r="I85" s="203" t="s">
        <v>324</v>
      </c>
      <c r="J85" s="203" t="s">
        <v>325</v>
      </c>
      <c r="K85" s="203" t="s">
        <v>326</v>
      </c>
      <c r="L85" s="203" t="s">
        <v>327</v>
      </c>
      <c r="M85" s="203" t="s">
        <v>328</v>
      </c>
      <c r="N85" s="203" t="s">
        <v>329</v>
      </c>
    </row>
    <row r="86" spans="1:14" x14ac:dyDescent="0.25">
      <c r="A86" s="197" t="s">
        <v>357</v>
      </c>
    </row>
    <row r="87" spans="1:14" ht="30" x14ac:dyDescent="0.25">
      <c r="A87" s="197" t="s">
        <v>358</v>
      </c>
    </row>
    <row r="88" spans="1:14" x14ac:dyDescent="0.25">
      <c r="A88" s="204" t="s">
        <v>359</v>
      </c>
    </row>
    <row r="89" spans="1:14" x14ac:dyDescent="0.25">
      <c r="A89" s="204" t="s">
        <v>360</v>
      </c>
    </row>
    <row r="90" spans="1:14" x14ac:dyDescent="0.25">
      <c r="A90" s="197" t="s">
        <v>361</v>
      </c>
    </row>
    <row r="96" spans="1:14" x14ac:dyDescent="0.25">
      <c r="A96" s="261" t="s">
        <v>362</v>
      </c>
      <c r="B96" s="262"/>
      <c r="C96" s="262"/>
      <c r="D96" s="262"/>
      <c r="E96" s="262"/>
      <c r="F96" s="262"/>
      <c r="G96" s="262"/>
      <c r="H96" s="262"/>
      <c r="I96" s="262"/>
      <c r="J96" s="262"/>
      <c r="K96" s="262"/>
      <c r="L96" s="262"/>
      <c r="M96" s="262"/>
      <c r="N96" s="262"/>
    </row>
    <row r="97" spans="1:14" x14ac:dyDescent="0.25">
      <c r="A97" s="203" t="s">
        <v>314</v>
      </c>
      <c r="B97" s="203" t="s">
        <v>318</v>
      </c>
      <c r="C97" s="203" t="s">
        <v>319</v>
      </c>
      <c r="D97" s="203" t="s">
        <v>320</v>
      </c>
      <c r="E97" s="203" t="s">
        <v>321</v>
      </c>
      <c r="F97" s="203" t="s">
        <v>54</v>
      </c>
      <c r="G97" s="203" t="s">
        <v>322</v>
      </c>
      <c r="H97" s="203" t="s">
        <v>323</v>
      </c>
      <c r="I97" s="203" t="s">
        <v>324</v>
      </c>
      <c r="J97" s="203" t="s">
        <v>325</v>
      </c>
      <c r="K97" s="203" t="s">
        <v>326</v>
      </c>
      <c r="L97" s="203" t="s">
        <v>327</v>
      </c>
      <c r="M97" s="203" t="s">
        <v>328</v>
      </c>
      <c r="N97" s="203" t="s">
        <v>329</v>
      </c>
    </row>
    <row r="98" spans="1:14" x14ac:dyDescent="0.25">
      <c r="A98" s="197" t="s">
        <v>315</v>
      </c>
    </row>
    <row r="99" spans="1:14" x14ac:dyDescent="0.25">
      <c r="A99" s="197" t="s">
        <v>68</v>
      </c>
    </row>
    <row r="100" spans="1:14" x14ac:dyDescent="0.25">
      <c r="A100" s="197" t="s">
        <v>316</v>
      </c>
    </row>
    <row r="101" spans="1:14" ht="30" x14ac:dyDescent="0.25">
      <c r="A101" s="197" t="s">
        <v>317</v>
      </c>
    </row>
    <row r="106" spans="1:14" x14ac:dyDescent="0.25">
      <c r="A106" s="203" t="s">
        <v>314</v>
      </c>
      <c r="B106" s="203" t="s">
        <v>318</v>
      </c>
      <c r="C106" s="203" t="s">
        <v>319</v>
      </c>
      <c r="D106" s="203" t="s">
        <v>320</v>
      </c>
      <c r="E106" s="203" t="s">
        <v>321</v>
      </c>
      <c r="F106" s="203" t="s">
        <v>54</v>
      </c>
      <c r="G106" s="203" t="s">
        <v>322</v>
      </c>
      <c r="H106" s="203" t="s">
        <v>323</v>
      </c>
      <c r="I106" s="203" t="s">
        <v>324</v>
      </c>
      <c r="J106" s="203" t="s">
        <v>325</v>
      </c>
      <c r="K106" s="203" t="s">
        <v>326</v>
      </c>
      <c r="L106" s="203" t="s">
        <v>327</v>
      </c>
      <c r="M106" s="203" t="s">
        <v>328</v>
      </c>
      <c r="N106" s="203" t="s">
        <v>329</v>
      </c>
    </row>
    <row r="107" spans="1:14" ht="30" x14ac:dyDescent="0.25">
      <c r="A107" s="197" t="s">
        <v>330</v>
      </c>
    </row>
    <row r="108" spans="1:14" x14ac:dyDescent="0.25">
      <c r="A108" s="197" t="s">
        <v>331</v>
      </c>
    </row>
    <row r="109" spans="1:14" x14ac:dyDescent="0.25">
      <c r="A109" s="197" t="s">
        <v>332</v>
      </c>
    </row>
    <row r="110" spans="1:14" ht="30" x14ac:dyDescent="0.25">
      <c r="A110" s="197" t="s">
        <v>333</v>
      </c>
    </row>
    <row r="114" spans="1:14" x14ac:dyDescent="0.25">
      <c r="A114" s="203" t="s">
        <v>314</v>
      </c>
      <c r="B114" s="203" t="s">
        <v>318</v>
      </c>
      <c r="C114" s="203" t="s">
        <v>319</v>
      </c>
      <c r="D114" s="203" t="s">
        <v>320</v>
      </c>
      <c r="E114" s="203" t="s">
        <v>321</v>
      </c>
      <c r="F114" s="203" t="s">
        <v>54</v>
      </c>
      <c r="G114" s="203" t="s">
        <v>322</v>
      </c>
      <c r="H114" s="203" t="s">
        <v>323</v>
      </c>
      <c r="I114" s="203" t="s">
        <v>324</v>
      </c>
      <c r="J114" s="203" t="s">
        <v>325</v>
      </c>
      <c r="K114" s="203" t="s">
        <v>326</v>
      </c>
      <c r="L114" s="203" t="s">
        <v>327</v>
      </c>
      <c r="M114" s="203" t="s">
        <v>328</v>
      </c>
      <c r="N114" s="203" t="s">
        <v>329</v>
      </c>
    </row>
    <row r="115" spans="1:14" x14ac:dyDescent="0.25">
      <c r="A115" s="197" t="s">
        <v>334</v>
      </c>
    </row>
    <row r="116" spans="1:14" x14ac:dyDescent="0.25">
      <c r="A116" s="197" t="s">
        <v>335</v>
      </c>
    </row>
    <row r="117" spans="1:14" ht="30" x14ac:dyDescent="0.25">
      <c r="A117" s="197" t="s">
        <v>336</v>
      </c>
    </row>
    <row r="118" spans="1:14" x14ac:dyDescent="0.25">
      <c r="A118" s="197" t="s">
        <v>337</v>
      </c>
    </row>
    <row r="119" spans="1:14" ht="30" x14ac:dyDescent="0.25">
      <c r="A119" s="197" t="s">
        <v>338</v>
      </c>
    </row>
    <row r="120" spans="1:14" ht="30" x14ac:dyDescent="0.25">
      <c r="A120" s="204" t="s">
        <v>339</v>
      </c>
    </row>
    <row r="124" spans="1:14" x14ac:dyDescent="0.25">
      <c r="A124" s="203" t="s">
        <v>314</v>
      </c>
      <c r="B124" s="203" t="s">
        <v>318</v>
      </c>
      <c r="C124" s="203" t="s">
        <v>319</v>
      </c>
      <c r="D124" s="203" t="s">
        <v>320</v>
      </c>
      <c r="E124" s="203" t="s">
        <v>321</v>
      </c>
      <c r="F124" s="203" t="s">
        <v>54</v>
      </c>
      <c r="G124" s="203" t="s">
        <v>322</v>
      </c>
      <c r="H124" s="203" t="s">
        <v>323</v>
      </c>
      <c r="I124" s="203" t="s">
        <v>324</v>
      </c>
      <c r="J124" s="203" t="s">
        <v>325</v>
      </c>
      <c r="K124" s="203" t="s">
        <v>326</v>
      </c>
      <c r="L124" s="203" t="s">
        <v>327</v>
      </c>
      <c r="M124" s="203" t="s">
        <v>328</v>
      </c>
      <c r="N124" s="203" t="s">
        <v>329</v>
      </c>
    </row>
    <row r="125" spans="1:14" x14ac:dyDescent="0.25">
      <c r="A125" s="204" t="s">
        <v>340</v>
      </c>
    </row>
    <row r="126" spans="1:14" x14ac:dyDescent="0.25">
      <c r="A126" s="197" t="s">
        <v>106</v>
      </c>
    </row>
    <row r="127" spans="1:14" x14ac:dyDescent="0.25">
      <c r="A127" s="197" t="s">
        <v>341</v>
      </c>
    </row>
    <row r="128" spans="1:14" x14ac:dyDescent="0.25">
      <c r="A128" s="197" t="s">
        <v>342</v>
      </c>
    </row>
    <row r="129" spans="1:14" x14ac:dyDescent="0.25">
      <c r="A129" s="204" t="s">
        <v>343</v>
      </c>
    </row>
    <row r="130" spans="1:14" ht="30" x14ac:dyDescent="0.25">
      <c r="A130" s="197" t="s">
        <v>344</v>
      </c>
    </row>
    <row r="131" spans="1:14" ht="30" x14ac:dyDescent="0.25">
      <c r="A131" s="197" t="s">
        <v>345</v>
      </c>
    </row>
    <row r="132" spans="1:14" ht="30" x14ac:dyDescent="0.25">
      <c r="A132" s="197" t="s">
        <v>346</v>
      </c>
    </row>
    <row r="136" spans="1:14" x14ac:dyDescent="0.25">
      <c r="A136" s="203" t="s">
        <v>314</v>
      </c>
      <c r="B136" s="203" t="s">
        <v>318</v>
      </c>
      <c r="C136" s="203" t="s">
        <v>319</v>
      </c>
      <c r="D136" s="203" t="s">
        <v>320</v>
      </c>
      <c r="E136" s="203" t="s">
        <v>321</v>
      </c>
      <c r="F136" s="203" t="s">
        <v>54</v>
      </c>
      <c r="G136" s="203" t="s">
        <v>322</v>
      </c>
      <c r="H136" s="203" t="s">
        <v>323</v>
      </c>
      <c r="I136" s="203" t="s">
        <v>324</v>
      </c>
      <c r="J136" s="203" t="s">
        <v>325</v>
      </c>
      <c r="K136" s="203" t="s">
        <v>326</v>
      </c>
      <c r="L136" s="203" t="s">
        <v>327</v>
      </c>
      <c r="M136" s="203" t="s">
        <v>328</v>
      </c>
      <c r="N136" s="203" t="s">
        <v>329</v>
      </c>
    </row>
    <row r="137" spans="1:14" x14ac:dyDescent="0.25">
      <c r="A137" s="197" t="s">
        <v>347</v>
      </c>
    </row>
    <row r="138" spans="1:14" x14ac:dyDescent="0.25">
      <c r="A138" s="197" t="s">
        <v>348</v>
      </c>
    </row>
    <row r="139" spans="1:14" x14ac:dyDescent="0.25">
      <c r="A139" s="204" t="s">
        <v>349</v>
      </c>
    </row>
    <row r="140" spans="1:14" x14ac:dyDescent="0.25">
      <c r="A140" s="197" t="s">
        <v>350</v>
      </c>
    </row>
    <row r="141" spans="1:14" x14ac:dyDescent="0.25">
      <c r="A141" s="197" t="s">
        <v>351</v>
      </c>
    </row>
    <row r="142" spans="1:14" ht="30" x14ac:dyDescent="0.25">
      <c r="A142" s="197" t="s">
        <v>352</v>
      </c>
    </row>
    <row r="146" spans="1:14" x14ac:dyDescent="0.25">
      <c r="A146" s="203" t="s">
        <v>314</v>
      </c>
      <c r="B146" s="203" t="s">
        <v>318</v>
      </c>
      <c r="C146" s="203" t="s">
        <v>319</v>
      </c>
      <c r="D146" s="203" t="s">
        <v>320</v>
      </c>
      <c r="E146" s="203" t="s">
        <v>321</v>
      </c>
      <c r="F146" s="203" t="s">
        <v>54</v>
      </c>
      <c r="G146" s="203" t="s">
        <v>322</v>
      </c>
      <c r="H146" s="203" t="s">
        <v>323</v>
      </c>
      <c r="I146" s="203" t="s">
        <v>324</v>
      </c>
      <c r="J146" s="203" t="s">
        <v>325</v>
      </c>
      <c r="K146" s="203" t="s">
        <v>326</v>
      </c>
      <c r="L146" s="203" t="s">
        <v>327</v>
      </c>
      <c r="M146" s="203" t="s">
        <v>328</v>
      </c>
      <c r="N146" s="203" t="s">
        <v>329</v>
      </c>
    </row>
    <row r="147" spans="1:14" x14ac:dyDescent="0.25">
      <c r="A147" s="197" t="s">
        <v>68</v>
      </c>
    </row>
    <row r="148" spans="1:14" x14ac:dyDescent="0.25">
      <c r="A148" s="197" t="s">
        <v>353</v>
      </c>
    </row>
    <row r="149" spans="1:14" ht="30" x14ac:dyDescent="0.25">
      <c r="A149" s="197" t="s">
        <v>354</v>
      </c>
    </row>
    <row r="150" spans="1:14" x14ac:dyDescent="0.25">
      <c r="A150" s="197" t="s">
        <v>355</v>
      </c>
    </row>
    <row r="151" spans="1:14" ht="30" x14ac:dyDescent="0.25">
      <c r="A151" s="197" t="s">
        <v>356</v>
      </c>
    </row>
    <row r="155" spans="1:14" x14ac:dyDescent="0.25">
      <c r="A155" s="203" t="s">
        <v>314</v>
      </c>
      <c r="B155" s="203" t="s">
        <v>318</v>
      </c>
      <c r="C155" s="203" t="s">
        <v>319</v>
      </c>
      <c r="D155" s="203" t="s">
        <v>320</v>
      </c>
      <c r="E155" s="203" t="s">
        <v>321</v>
      </c>
      <c r="F155" s="203" t="s">
        <v>54</v>
      </c>
      <c r="G155" s="203" t="s">
        <v>322</v>
      </c>
      <c r="H155" s="203" t="s">
        <v>323</v>
      </c>
      <c r="I155" s="203" t="s">
        <v>324</v>
      </c>
      <c r="J155" s="203" t="s">
        <v>325</v>
      </c>
      <c r="K155" s="203" t="s">
        <v>326</v>
      </c>
      <c r="L155" s="203" t="s">
        <v>327</v>
      </c>
      <c r="M155" s="203" t="s">
        <v>328</v>
      </c>
      <c r="N155" s="203" t="s">
        <v>329</v>
      </c>
    </row>
    <row r="156" spans="1:14" x14ac:dyDescent="0.25">
      <c r="A156" s="197" t="s">
        <v>357</v>
      </c>
    </row>
    <row r="157" spans="1:14" ht="30" x14ac:dyDescent="0.25">
      <c r="A157" s="197" t="s">
        <v>358</v>
      </c>
    </row>
    <row r="158" spans="1:14" x14ac:dyDescent="0.25">
      <c r="A158" s="204" t="s">
        <v>359</v>
      </c>
    </row>
    <row r="159" spans="1:14" x14ac:dyDescent="0.25">
      <c r="A159" s="204" t="s">
        <v>360</v>
      </c>
    </row>
    <row r="160" spans="1:14" x14ac:dyDescent="0.25">
      <c r="A160" s="197" t="s">
        <v>361</v>
      </c>
    </row>
    <row r="167" spans="1:14" x14ac:dyDescent="0.25">
      <c r="A167" s="261" t="s">
        <v>362</v>
      </c>
      <c r="B167" s="262"/>
      <c r="C167" s="262"/>
      <c r="D167" s="262"/>
      <c r="E167" s="262"/>
      <c r="F167" s="262"/>
      <c r="G167" s="262"/>
      <c r="H167" s="262"/>
      <c r="I167" s="262"/>
      <c r="J167" s="262"/>
      <c r="K167" s="262"/>
      <c r="L167" s="262"/>
      <c r="M167" s="262"/>
      <c r="N167" s="262"/>
    </row>
    <row r="168" spans="1:14" x14ac:dyDescent="0.25">
      <c r="A168" s="203" t="s">
        <v>314</v>
      </c>
      <c r="B168" s="203" t="s">
        <v>318</v>
      </c>
      <c r="C168" s="203" t="s">
        <v>319</v>
      </c>
      <c r="D168" s="203" t="s">
        <v>320</v>
      </c>
      <c r="E168" s="203" t="s">
        <v>321</v>
      </c>
      <c r="F168" s="203" t="s">
        <v>54</v>
      </c>
      <c r="G168" s="203" t="s">
        <v>322</v>
      </c>
      <c r="H168" s="203" t="s">
        <v>323</v>
      </c>
      <c r="I168" s="203" t="s">
        <v>324</v>
      </c>
      <c r="J168" s="203" t="s">
        <v>325</v>
      </c>
      <c r="K168" s="203" t="s">
        <v>326</v>
      </c>
      <c r="L168" s="203" t="s">
        <v>327</v>
      </c>
      <c r="M168" s="203" t="s">
        <v>328</v>
      </c>
      <c r="N168" s="203" t="s">
        <v>329</v>
      </c>
    </row>
    <row r="169" spans="1:14" x14ac:dyDescent="0.25">
      <c r="A169" s="197" t="s">
        <v>315</v>
      </c>
    </row>
    <row r="170" spans="1:14" x14ac:dyDescent="0.25">
      <c r="A170" s="197" t="s">
        <v>68</v>
      </c>
    </row>
    <row r="171" spans="1:14" x14ac:dyDescent="0.25">
      <c r="A171" s="197" t="s">
        <v>316</v>
      </c>
    </row>
    <row r="172" spans="1:14" ht="30" x14ac:dyDescent="0.25">
      <c r="A172" s="197" t="s">
        <v>317</v>
      </c>
    </row>
    <row r="177" spans="1:14" x14ac:dyDescent="0.25">
      <c r="A177" s="203" t="s">
        <v>314</v>
      </c>
      <c r="B177" s="203" t="s">
        <v>318</v>
      </c>
      <c r="C177" s="203" t="s">
        <v>319</v>
      </c>
      <c r="D177" s="203" t="s">
        <v>320</v>
      </c>
      <c r="E177" s="203" t="s">
        <v>321</v>
      </c>
      <c r="F177" s="203" t="s">
        <v>54</v>
      </c>
      <c r="G177" s="203" t="s">
        <v>322</v>
      </c>
      <c r="H177" s="203" t="s">
        <v>323</v>
      </c>
      <c r="I177" s="203" t="s">
        <v>324</v>
      </c>
      <c r="J177" s="203" t="s">
        <v>325</v>
      </c>
      <c r="K177" s="203" t="s">
        <v>326</v>
      </c>
      <c r="L177" s="203" t="s">
        <v>327</v>
      </c>
      <c r="M177" s="203" t="s">
        <v>328</v>
      </c>
      <c r="N177" s="203" t="s">
        <v>329</v>
      </c>
    </row>
    <row r="178" spans="1:14" ht="30" x14ac:dyDescent="0.25">
      <c r="A178" s="197" t="s">
        <v>330</v>
      </c>
    </row>
    <row r="179" spans="1:14" x14ac:dyDescent="0.25">
      <c r="A179" s="197" t="s">
        <v>331</v>
      </c>
    </row>
    <row r="180" spans="1:14" x14ac:dyDescent="0.25">
      <c r="A180" s="197" t="s">
        <v>332</v>
      </c>
    </row>
    <row r="181" spans="1:14" ht="30" x14ac:dyDescent="0.25">
      <c r="A181" s="197" t="s">
        <v>333</v>
      </c>
    </row>
    <row r="185" spans="1:14" x14ac:dyDescent="0.25">
      <c r="A185" s="203" t="s">
        <v>314</v>
      </c>
      <c r="B185" s="203" t="s">
        <v>318</v>
      </c>
      <c r="C185" s="203" t="s">
        <v>319</v>
      </c>
      <c r="D185" s="203" t="s">
        <v>320</v>
      </c>
      <c r="E185" s="203" t="s">
        <v>321</v>
      </c>
      <c r="F185" s="203" t="s">
        <v>54</v>
      </c>
      <c r="G185" s="203" t="s">
        <v>322</v>
      </c>
      <c r="H185" s="203" t="s">
        <v>323</v>
      </c>
      <c r="I185" s="203" t="s">
        <v>324</v>
      </c>
      <c r="J185" s="203" t="s">
        <v>325</v>
      </c>
      <c r="K185" s="203" t="s">
        <v>326</v>
      </c>
      <c r="L185" s="203" t="s">
        <v>327</v>
      </c>
      <c r="M185" s="203" t="s">
        <v>328</v>
      </c>
      <c r="N185" s="203" t="s">
        <v>329</v>
      </c>
    </row>
    <row r="186" spans="1:14" x14ac:dyDescent="0.25">
      <c r="A186" s="197" t="s">
        <v>334</v>
      </c>
    </row>
    <row r="187" spans="1:14" x14ac:dyDescent="0.25">
      <c r="A187" s="197" t="s">
        <v>335</v>
      </c>
    </row>
    <row r="188" spans="1:14" ht="30" x14ac:dyDescent="0.25">
      <c r="A188" s="197" t="s">
        <v>336</v>
      </c>
    </row>
    <row r="189" spans="1:14" x14ac:dyDescent="0.25">
      <c r="A189" s="197" t="s">
        <v>337</v>
      </c>
    </row>
    <row r="190" spans="1:14" ht="30" x14ac:dyDescent="0.25">
      <c r="A190" s="197" t="s">
        <v>338</v>
      </c>
    </row>
    <row r="191" spans="1:14" ht="30" x14ac:dyDescent="0.25">
      <c r="A191" s="204" t="s">
        <v>339</v>
      </c>
    </row>
    <row r="195" spans="1:14" x14ac:dyDescent="0.25">
      <c r="A195" s="203" t="s">
        <v>314</v>
      </c>
      <c r="B195" s="203" t="s">
        <v>318</v>
      </c>
      <c r="C195" s="203" t="s">
        <v>319</v>
      </c>
      <c r="D195" s="203" t="s">
        <v>320</v>
      </c>
      <c r="E195" s="203" t="s">
        <v>321</v>
      </c>
      <c r="F195" s="203" t="s">
        <v>54</v>
      </c>
      <c r="G195" s="203" t="s">
        <v>322</v>
      </c>
      <c r="H195" s="203" t="s">
        <v>323</v>
      </c>
      <c r="I195" s="203" t="s">
        <v>324</v>
      </c>
      <c r="J195" s="203" t="s">
        <v>325</v>
      </c>
      <c r="K195" s="203" t="s">
        <v>326</v>
      </c>
      <c r="L195" s="203" t="s">
        <v>327</v>
      </c>
      <c r="M195" s="203" t="s">
        <v>328</v>
      </c>
      <c r="N195" s="203" t="s">
        <v>329</v>
      </c>
    </row>
    <row r="196" spans="1:14" x14ac:dyDescent="0.25">
      <c r="A196" s="204" t="s">
        <v>340</v>
      </c>
    </row>
    <row r="197" spans="1:14" x14ac:dyDescent="0.25">
      <c r="A197" s="197" t="s">
        <v>106</v>
      </c>
    </row>
    <row r="198" spans="1:14" x14ac:dyDescent="0.25">
      <c r="A198" s="197" t="s">
        <v>341</v>
      </c>
    </row>
    <row r="199" spans="1:14" x14ac:dyDescent="0.25">
      <c r="A199" s="197" t="s">
        <v>342</v>
      </c>
    </row>
    <row r="200" spans="1:14" x14ac:dyDescent="0.25">
      <c r="A200" s="204" t="s">
        <v>343</v>
      </c>
    </row>
    <row r="201" spans="1:14" ht="30" x14ac:dyDescent="0.25">
      <c r="A201" s="197" t="s">
        <v>344</v>
      </c>
    </row>
    <row r="202" spans="1:14" ht="30" x14ac:dyDescent="0.25">
      <c r="A202" s="197" t="s">
        <v>345</v>
      </c>
    </row>
    <row r="203" spans="1:14" ht="30" x14ac:dyDescent="0.25">
      <c r="A203" s="197" t="s">
        <v>346</v>
      </c>
    </row>
    <row r="207" spans="1:14" x14ac:dyDescent="0.25">
      <c r="A207" s="203" t="s">
        <v>314</v>
      </c>
      <c r="B207" s="203" t="s">
        <v>318</v>
      </c>
      <c r="C207" s="203" t="s">
        <v>319</v>
      </c>
      <c r="D207" s="203" t="s">
        <v>320</v>
      </c>
      <c r="E207" s="203" t="s">
        <v>321</v>
      </c>
      <c r="F207" s="203" t="s">
        <v>54</v>
      </c>
      <c r="G207" s="203" t="s">
        <v>322</v>
      </c>
      <c r="H207" s="203" t="s">
        <v>323</v>
      </c>
      <c r="I207" s="203" t="s">
        <v>324</v>
      </c>
      <c r="J207" s="203" t="s">
        <v>325</v>
      </c>
      <c r="K207" s="203" t="s">
        <v>326</v>
      </c>
      <c r="L207" s="203" t="s">
        <v>327</v>
      </c>
      <c r="M207" s="203" t="s">
        <v>328</v>
      </c>
      <c r="N207" s="203" t="s">
        <v>329</v>
      </c>
    </row>
    <row r="208" spans="1:14" x14ac:dyDescent="0.25">
      <c r="A208" s="197" t="s">
        <v>347</v>
      </c>
    </row>
    <row r="209" spans="1:14" x14ac:dyDescent="0.25">
      <c r="A209" s="197" t="s">
        <v>348</v>
      </c>
    </row>
    <row r="210" spans="1:14" x14ac:dyDescent="0.25">
      <c r="A210" s="204" t="s">
        <v>349</v>
      </c>
    </row>
    <row r="211" spans="1:14" x14ac:dyDescent="0.25">
      <c r="A211" s="197" t="s">
        <v>350</v>
      </c>
    </row>
    <row r="212" spans="1:14" x14ac:dyDescent="0.25">
      <c r="A212" s="197" t="s">
        <v>351</v>
      </c>
    </row>
    <row r="213" spans="1:14" ht="30" x14ac:dyDescent="0.25">
      <c r="A213" s="197" t="s">
        <v>352</v>
      </c>
    </row>
    <row r="217" spans="1:14" x14ac:dyDescent="0.25">
      <c r="A217" s="203" t="s">
        <v>314</v>
      </c>
      <c r="B217" s="203" t="s">
        <v>318</v>
      </c>
      <c r="C217" s="203" t="s">
        <v>319</v>
      </c>
      <c r="D217" s="203" t="s">
        <v>320</v>
      </c>
      <c r="E217" s="203" t="s">
        <v>321</v>
      </c>
      <c r="F217" s="203" t="s">
        <v>54</v>
      </c>
      <c r="G217" s="203" t="s">
        <v>322</v>
      </c>
      <c r="H217" s="203" t="s">
        <v>323</v>
      </c>
      <c r="I217" s="203" t="s">
        <v>324</v>
      </c>
      <c r="J217" s="203" t="s">
        <v>325</v>
      </c>
      <c r="K217" s="203" t="s">
        <v>326</v>
      </c>
      <c r="L217" s="203" t="s">
        <v>327</v>
      </c>
      <c r="M217" s="203" t="s">
        <v>328</v>
      </c>
      <c r="N217" s="203" t="s">
        <v>329</v>
      </c>
    </row>
    <row r="218" spans="1:14" x14ac:dyDescent="0.25">
      <c r="A218" s="197" t="s">
        <v>68</v>
      </c>
    </row>
    <row r="219" spans="1:14" x14ac:dyDescent="0.25">
      <c r="A219" s="197" t="s">
        <v>353</v>
      </c>
    </row>
    <row r="220" spans="1:14" ht="30" x14ac:dyDescent="0.25">
      <c r="A220" s="197" t="s">
        <v>354</v>
      </c>
    </row>
    <row r="221" spans="1:14" x14ac:dyDescent="0.25">
      <c r="A221" s="197" t="s">
        <v>355</v>
      </c>
    </row>
    <row r="222" spans="1:14" ht="30" x14ac:dyDescent="0.25">
      <c r="A222" s="197" t="s">
        <v>356</v>
      </c>
    </row>
    <row r="226" spans="1:14" x14ac:dyDescent="0.25">
      <c r="A226" s="203" t="s">
        <v>314</v>
      </c>
      <c r="B226" s="203" t="s">
        <v>318</v>
      </c>
      <c r="C226" s="203" t="s">
        <v>319</v>
      </c>
      <c r="D226" s="203" t="s">
        <v>320</v>
      </c>
      <c r="E226" s="203" t="s">
        <v>321</v>
      </c>
      <c r="F226" s="203" t="s">
        <v>54</v>
      </c>
      <c r="G226" s="203" t="s">
        <v>322</v>
      </c>
      <c r="H226" s="203" t="s">
        <v>323</v>
      </c>
      <c r="I226" s="203" t="s">
        <v>324</v>
      </c>
      <c r="J226" s="203" t="s">
        <v>325</v>
      </c>
      <c r="K226" s="203" t="s">
        <v>326</v>
      </c>
      <c r="L226" s="203" t="s">
        <v>327</v>
      </c>
      <c r="M226" s="203" t="s">
        <v>328</v>
      </c>
      <c r="N226" s="203" t="s">
        <v>329</v>
      </c>
    </row>
    <row r="227" spans="1:14" x14ac:dyDescent="0.25">
      <c r="A227" s="197" t="s">
        <v>357</v>
      </c>
    </row>
    <row r="228" spans="1:14" ht="30" x14ac:dyDescent="0.25">
      <c r="A228" s="197" t="s">
        <v>358</v>
      </c>
    </row>
    <row r="229" spans="1:14" x14ac:dyDescent="0.25">
      <c r="A229" s="204" t="s">
        <v>359</v>
      </c>
    </row>
    <row r="230" spans="1:14" x14ac:dyDescent="0.25">
      <c r="A230" s="204" t="s">
        <v>360</v>
      </c>
    </row>
    <row r="231" spans="1:14" x14ac:dyDescent="0.25">
      <c r="A231" s="197" t="s">
        <v>361</v>
      </c>
    </row>
    <row r="235" spans="1:14" x14ac:dyDescent="0.25">
      <c r="A235" s="261" t="s">
        <v>362</v>
      </c>
      <c r="B235" s="262"/>
      <c r="C235" s="262"/>
      <c r="D235" s="262"/>
      <c r="E235" s="262"/>
      <c r="F235" s="262"/>
      <c r="G235" s="262"/>
      <c r="H235" s="262"/>
      <c r="I235" s="262"/>
      <c r="J235" s="262"/>
      <c r="K235" s="262"/>
      <c r="L235" s="262"/>
      <c r="M235" s="262"/>
      <c r="N235" s="262"/>
    </row>
    <row r="236" spans="1:14" x14ac:dyDescent="0.25">
      <c r="A236" s="203" t="s">
        <v>314</v>
      </c>
      <c r="B236" s="203" t="s">
        <v>318</v>
      </c>
      <c r="C236" s="203" t="s">
        <v>319</v>
      </c>
      <c r="D236" s="203" t="s">
        <v>320</v>
      </c>
      <c r="E236" s="203" t="s">
        <v>321</v>
      </c>
      <c r="F236" s="203" t="s">
        <v>54</v>
      </c>
      <c r="G236" s="203" t="s">
        <v>322</v>
      </c>
      <c r="H236" s="203" t="s">
        <v>323</v>
      </c>
      <c r="I236" s="203" t="s">
        <v>324</v>
      </c>
      <c r="J236" s="203" t="s">
        <v>325</v>
      </c>
      <c r="K236" s="203" t="s">
        <v>326</v>
      </c>
      <c r="L236" s="203" t="s">
        <v>327</v>
      </c>
      <c r="M236" s="203" t="s">
        <v>328</v>
      </c>
      <c r="N236" s="203" t="s">
        <v>329</v>
      </c>
    </row>
    <row r="237" spans="1:14" x14ac:dyDescent="0.25">
      <c r="A237" s="197" t="s">
        <v>315</v>
      </c>
    </row>
    <row r="238" spans="1:14" x14ac:dyDescent="0.25">
      <c r="A238" s="197" t="s">
        <v>68</v>
      </c>
    </row>
    <row r="239" spans="1:14" x14ac:dyDescent="0.25">
      <c r="A239" s="197" t="s">
        <v>316</v>
      </c>
    </row>
    <row r="240" spans="1:14" ht="30" x14ac:dyDescent="0.25">
      <c r="A240" s="197" t="s">
        <v>317</v>
      </c>
    </row>
    <row r="245" spans="1:14" x14ac:dyDescent="0.25">
      <c r="A245" s="203" t="s">
        <v>314</v>
      </c>
      <c r="B245" s="203" t="s">
        <v>318</v>
      </c>
      <c r="C245" s="203" t="s">
        <v>319</v>
      </c>
      <c r="D245" s="203" t="s">
        <v>320</v>
      </c>
      <c r="E245" s="203" t="s">
        <v>321</v>
      </c>
      <c r="F245" s="203" t="s">
        <v>54</v>
      </c>
      <c r="G245" s="203" t="s">
        <v>322</v>
      </c>
      <c r="H245" s="203" t="s">
        <v>323</v>
      </c>
      <c r="I245" s="203" t="s">
        <v>324</v>
      </c>
      <c r="J245" s="203" t="s">
        <v>325</v>
      </c>
      <c r="K245" s="203" t="s">
        <v>326</v>
      </c>
      <c r="L245" s="203" t="s">
        <v>327</v>
      </c>
      <c r="M245" s="203" t="s">
        <v>328</v>
      </c>
      <c r="N245" s="203" t="s">
        <v>329</v>
      </c>
    </row>
    <row r="246" spans="1:14" ht="30" x14ac:dyDescent="0.25">
      <c r="A246" s="197" t="s">
        <v>330</v>
      </c>
    </row>
    <row r="247" spans="1:14" x14ac:dyDescent="0.25">
      <c r="A247" s="197" t="s">
        <v>331</v>
      </c>
    </row>
    <row r="248" spans="1:14" x14ac:dyDescent="0.25">
      <c r="A248" s="197" t="s">
        <v>332</v>
      </c>
    </row>
    <row r="249" spans="1:14" ht="30" x14ac:dyDescent="0.25">
      <c r="A249" s="197" t="s">
        <v>333</v>
      </c>
    </row>
    <row r="253" spans="1:14" x14ac:dyDescent="0.25">
      <c r="A253" s="203" t="s">
        <v>314</v>
      </c>
      <c r="B253" s="203" t="s">
        <v>318</v>
      </c>
      <c r="C253" s="203" t="s">
        <v>319</v>
      </c>
      <c r="D253" s="203" t="s">
        <v>320</v>
      </c>
      <c r="E253" s="203" t="s">
        <v>321</v>
      </c>
      <c r="F253" s="203" t="s">
        <v>54</v>
      </c>
      <c r="G253" s="203" t="s">
        <v>322</v>
      </c>
      <c r="H253" s="203" t="s">
        <v>323</v>
      </c>
      <c r="I253" s="203" t="s">
        <v>324</v>
      </c>
      <c r="J253" s="203" t="s">
        <v>325</v>
      </c>
      <c r="K253" s="203" t="s">
        <v>326</v>
      </c>
      <c r="L253" s="203" t="s">
        <v>327</v>
      </c>
      <c r="M253" s="203" t="s">
        <v>328</v>
      </c>
      <c r="N253" s="203" t="s">
        <v>329</v>
      </c>
    </row>
    <row r="254" spans="1:14" x14ac:dyDescent="0.25">
      <c r="A254" s="197" t="s">
        <v>334</v>
      </c>
    </row>
    <row r="255" spans="1:14" x14ac:dyDescent="0.25">
      <c r="A255" s="197" t="s">
        <v>335</v>
      </c>
    </row>
    <row r="256" spans="1:14" ht="30" x14ac:dyDescent="0.25">
      <c r="A256" s="197" t="s">
        <v>336</v>
      </c>
    </row>
    <row r="257" spans="1:14" x14ac:dyDescent="0.25">
      <c r="A257" s="197" t="s">
        <v>337</v>
      </c>
    </row>
    <row r="258" spans="1:14" ht="30" x14ac:dyDescent="0.25">
      <c r="A258" s="197" t="s">
        <v>338</v>
      </c>
    </row>
    <row r="259" spans="1:14" ht="30" x14ac:dyDescent="0.25">
      <c r="A259" s="204" t="s">
        <v>339</v>
      </c>
    </row>
    <row r="263" spans="1:14" x14ac:dyDescent="0.25">
      <c r="A263" s="203" t="s">
        <v>314</v>
      </c>
      <c r="B263" s="203" t="s">
        <v>318</v>
      </c>
      <c r="C263" s="203" t="s">
        <v>319</v>
      </c>
      <c r="D263" s="203" t="s">
        <v>320</v>
      </c>
      <c r="E263" s="203" t="s">
        <v>321</v>
      </c>
      <c r="F263" s="203" t="s">
        <v>54</v>
      </c>
      <c r="G263" s="203" t="s">
        <v>322</v>
      </c>
      <c r="H263" s="203" t="s">
        <v>323</v>
      </c>
      <c r="I263" s="203" t="s">
        <v>324</v>
      </c>
      <c r="J263" s="203" t="s">
        <v>325</v>
      </c>
      <c r="K263" s="203" t="s">
        <v>326</v>
      </c>
      <c r="L263" s="203" t="s">
        <v>327</v>
      </c>
      <c r="M263" s="203" t="s">
        <v>328</v>
      </c>
      <c r="N263" s="203" t="s">
        <v>329</v>
      </c>
    </row>
    <row r="264" spans="1:14" x14ac:dyDescent="0.25">
      <c r="A264" s="204" t="s">
        <v>340</v>
      </c>
    </row>
    <row r="265" spans="1:14" x14ac:dyDescent="0.25">
      <c r="A265" s="197" t="s">
        <v>106</v>
      </c>
    </row>
    <row r="266" spans="1:14" x14ac:dyDescent="0.25">
      <c r="A266" s="197" t="s">
        <v>341</v>
      </c>
    </row>
    <row r="267" spans="1:14" x14ac:dyDescent="0.25">
      <c r="A267" s="197" t="s">
        <v>342</v>
      </c>
    </row>
    <row r="268" spans="1:14" x14ac:dyDescent="0.25">
      <c r="A268" s="204" t="s">
        <v>343</v>
      </c>
    </row>
    <row r="269" spans="1:14" ht="30" x14ac:dyDescent="0.25">
      <c r="A269" s="197" t="s">
        <v>344</v>
      </c>
    </row>
    <row r="270" spans="1:14" ht="30" x14ac:dyDescent="0.25">
      <c r="A270" s="197" t="s">
        <v>345</v>
      </c>
    </row>
    <row r="271" spans="1:14" ht="30" x14ac:dyDescent="0.25">
      <c r="A271" s="197" t="s">
        <v>346</v>
      </c>
    </row>
    <row r="275" spans="1:14" x14ac:dyDescent="0.25">
      <c r="A275" s="203" t="s">
        <v>314</v>
      </c>
      <c r="B275" s="203" t="s">
        <v>318</v>
      </c>
      <c r="C275" s="203" t="s">
        <v>319</v>
      </c>
      <c r="D275" s="203" t="s">
        <v>320</v>
      </c>
      <c r="E275" s="203" t="s">
        <v>321</v>
      </c>
      <c r="F275" s="203" t="s">
        <v>54</v>
      </c>
      <c r="G275" s="203" t="s">
        <v>322</v>
      </c>
      <c r="H275" s="203" t="s">
        <v>323</v>
      </c>
      <c r="I275" s="203" t="s">
        <v>324</v>
      </c>
      <c r="J275" s="203" t="s">
        <v>325</v>
      </c>
      <c r="K275" s="203" t="s">
        <v>326</v>
      </c>
      <c r="L275" s="203" t="s">
        <v>327</v>
      </c>
      <c r="M275" s="203" t="s">
        <v>328</v>
      </c>
      <c r="N275" s="203" t="s">
        <v>329</v>
      </c>
    </row>
    <row r="276" spans="1:14" x14ac:dyDescent="0.25">
      <c r="A276" s="197" t="s">
        <v>347</v>
      </c>
    </row>
    <row r="277" spans="1:14" x14ac:dyDescent="0.25">
      <c r="A277" s="197" t="s">
        <v>348</v>
      </c>
    </row>
    <row r="278" spans="1:14" x14ac:dyDescent="0.25">
      <c r="A278" s="204" t="s">
        <v>349</v>
      </c>
    </row>
    <row r="279" spans="1:14" x14ac:dyDescent="0.25">
      <c r="A279" s="197" t="s">
        <v>350</v>
      </c>
    </row>
    <row r="280" spans="1:14" x14ac:dyDescent="0.25">
      <c r="A280" s="197" t="s">
        <v>351</v>
      </c>
    </row>
    <row r="281" spans="1:14" ht="30" x14ac:dyDescent="0.25">
      <c r="A281" s="197" t="s">
        <v>352</v>
      </c>
    </row>
    <row r="285" spans="1:14" x14ac:dyDescent="0.25">
      <c r="A285" s="203" t="s">
        <v>314</v>
      </c>
      <c r="B285" s="203" t="s">
        <v>318</v>
      </c>
      <c r="C285" s="203" t="s">
        <v>319</v>
      </c>
      <c r="D285" s="203" t="s">
        <v>320</v>
      </c>
      <c r="E285" s="203" t="s">
        <v>321</v>
      </c>
      <c r="F285" s="203" t="s">
        <v>54</v>
      </c>
      <c r="G285" s="203" t="s">
        <v>322</v>
      </c>
      <c r="H285" s="203" t="s">
        <v>323</v>
      </c>
      <c r="I285" s="203" t="s">
        <v>324</v>
      </c>
      <c r="J285" s="203" t="s">
        <v>325</v>
      </c>
      <c r="K285" s="203" t="s">
        <v>326</v>
      </c>
      <c r="L285" s="203" t="s">
        <v>327</v>
      </c>
      <c r="M285" s="203" t="s">
        <v>328</v>
      </c>
      <c r="N285" s="203" t="s">
        <v>329</v>
      </c>
    </row>
    <row r="286" spans="1:14" x14ac:dyDescent="0.25">
      <c r="A286" s="197" t="s">
        <v>68</v>
      </c>
    </row>
    <row r="287" spans="1:14" x14ac:dyDescent="0.25">
      <c r="A287" s="197" t="s">
        <v>353</v>
      </c>
    </row>
    <row r="288" spans="1:14" ht="30" x14ac:dyDescent="0.25">
      <c r="A288" s="197" t="s">
        <v>354</v>
      </c>
    </row>
    <row r="289" spans="1:14" x14ac:dyDescent="0.25">
      <c r="A289" s="197" t="s">
        <v>355</v>
      </c>
    </row>
    <row r="290" spans="1:14" ht="30" x14ac:dyDescent="0.25">
      <c r="A290" s="197" t="s">
        <v>356</v>
      </c>
    </row>
    <row r="294" spans="1:14" x14ac:dyDescent="0.25">
      <c r="A294" s="203" t="s">
        <v>314</v>
      </c>
      <c r="B294" s="203" t="s">
        <v>318</v>
      </c>
      <c r="C294" s="203" t="s">
        <v>319</v>
      </c>
      <c r="D294" s="203" t="s">
        <v>320</v>
      </c>
      <c r="E294" s="203" t="s">
        <v>321</v>
      </c>
      <c r="F294" s="203" t="s">
        <v>54</v>
      </c>
      <c r="G294" s="203" t="s">
        <v>322</v>
      </c>
      <c r="H294" s="203" t="s">
        <v>323</v>
      </c>
      <c r="I294" s="203" t="s">
        <v>324</v>
      </c>
      <c r="J294" s="203" t="s">
        <v>325</v>
      </c>
      <c r="K294" s="203" t="s">
        <v>326</v>
      </c>
      <c r="L294" s="203" t="s">
        <v>327</v>
      </c>
      <c r="M294" s="203" t="s">
        <v>328</v>
      </c>
      <c r="N294" s="203" t="s">
        <v>329</v>
      </c>
    </row>
    <row r="295" spans="1:14" x14ac:dyDescent="0.25">
      <c r="A295" s="197" t="s">
        <v>357</v>
      </c>
    </row>
    <row r="296" spans="1:14" ht="30" x14ac:dyDescent="0.25">
      <c r="A296" s="197" t="s">
        <v>358</v>
      </c>
    </row>
    <row r="297" spans="1:14" x14ac:dyDescent="0.25">
      <c r="A297" s="204" t="s">
        <v>359</v>
      </c>
    </row>
    <row r="298" spans="1:14" x14ac:dyDescent="0.25">
      <c r="A298" s="204" t="s">
        <v>360</v>
      </c>
    </row>
    <row r="299" spans="1:14" x14ac:dyDescent="0.25">
      <c r="A299" s="197" t="s">
        <v>361</v>
      </c>
    </row>
    <row r="303" spans="1:14" x14ac:dyDescent="0.25">
      <c r="A303" s="261" t="s">
        <v>362</v>
      </c>
      <c r="B303" s="262"/>
      <c r="C303" s="262"/>
      <c r="D303" s="262"/>
      <c r="E303" s="262"/>
      <c r="F303" s="262"/>
      <c r="G303" s="262"/>
      <c r="H303" s="262"/>
      <c r="I303" s="262"/>
      <c r="J303" s="262"/>
      <c r="K303" s="262"/>
      <c r="L303" s="262"/>
      <c r="M303" s="262"/>
      <c r="N303" s="262"/>
    </row>
    <row r="304" spans="1:14" x14ac:dyDescent="0.25">
      <c r="A304" s="203" t="s">
        <v>314</v>
      </c>
      <c r="B304" s="203" t="s">
        <v>318</v>
      </c>
      <c r="C304" s="203" t="s">
        <v>319</v>
      </c>
      <c r="D304" s="203" t="s">
        <v>320</v>
      </c>
      <c r="E304" s="203" t="s">
        <v>321</v>
      </c>
      <c r="F304" s="203" t="s">
        <v>54</v>
      </c>
      <c r="G304" s="203" t="s">
        <v>322</v>
      </c>
      <c r="H304" s="203" t="s">
        <v>323</v>
      </c>
      <c r="I304" s="203" t="s">
        <v>324</v>
      </c>
      <c r="J304" s="203" t="s">
        <v>325</v>
      </c>
      <c r="K304" s="203" t="s">
        <v>326</v>
      </c>
      <c r="L304" s="203" t="s">
        <v>327</v>
      </c>
      <c r="M304" s="203" t="s">
        <v>328</v>
      </c>
      <c r="N304" s="203" t="s">
        <v>329</v>
      </c>
    </row>
    <row r="305" spans="1:14" x14ac:dyDescent="0.25">
      <c r="A305" s="197" t="s">
        <v>315</v>
      </c>
    </row>
    <row r="306" spans="1:14" x14ac:dyDescent="0.25">
      <c r="A306" s="197" t="s">
        <v>68</v>
      </c>
    </row>
    <row r="307" spans="1:14" x14ac:dyDescent="0.25">
      <c r="A307" s="197" t="s">
        <v>316</v>
      </c>
    </row>
    <row r="308" spans="1:14" ht="30" x14ac:dyDescent="0.25">
      <c r="A308" s="197" t="s">
        <v>317</v>
      </c>
    </row>
    <row r="313" spans="1:14" x14ac:dyDescent="0.25">
      <c r="A313" s="203" t="s">
        <v>314</v>
      </c>
      <c r="B313" s="203" t="s">
        <v>318</v>
      </c>
      <c r="C313" s="203" t="s">
        <v>319</v>
      </c>
      <c r="D313" s="203" t="s">
        <v>320</v>
      </c>
      <c r="E313" s="203" t="s">
        <v>321</v>
      </c>
      <c r="F313" s="203" t="s">
        <v>54</v>
      </c>
      <c r="G313" s="203" t="s">
        <v>322</v>
      </c>
      <c r="H313" s="203" t="s">
        <v>323</v>
      </c>
      <c r="I313" s="203" t="s">
        <v>324</v>
      </c>
      <c r="J313" s="203" t="s">
        <v>325</v>
      </c>
      <c r="K313" s="203" t="s">
        <v>326</v>
      </c>
      <c r="L313" s="203" t="s">
        <v>327</v>
      </c>
      <c r="M313" s="203" t="s">
        <v>328</v>
      </c>
      <c r="N313" s="203" t="s">
        <v>329</v>
      </c>
    </row>
    <row r="314" spans="1:14" ht="30" x14ac:dyDescent="0.25">
      <c r="A314" s="197" t="s">
        <v>330</v>
      </c>
    </row>
    <row r="315" spans="1:14" x14ac:dyDescent="0.25">
      <c r="A315" s="197" t="s">
        <v>331</v>
      </c>
    </row>
    <row r="316" spans="1:14" x14ac:dyDescent="0.25">
      <c r="A316" s="197" t="s">
        <v>332</v>
      </c>
    </row>
    <row r="317" spans="1:14" ht="30" x14ac:dyDescent="0.25">
      <c r="A317" s="197" t="s">
        <v>333</v>
      </c>
    </row>
    <row r="321" spans="1:14" x14ac:dyDescent="0.25">
      <c r="A321" s="203" t="s">
        <v>314</v>
      </c>
      <c r="B321" s="203" t="s">
        <v>318</v>
      </c>
      <c r="C321" s="203" t="s">
        <v>319</v>
      </c>
      <c r="D321" s="203" t="s">
        <v>320</v>
      </c>
      <c r="E321" s="203" t="s">
        <v>321</v>
      </c>
      <c r="F321" s="203" t="s">
        <v>54</v>
      </c>
      <c r="G321" s="203" t="s">
        <v>322</v>
      </c>
      <c r="H321" s="203" t="s">
        <v>323</v>
      </c>
      <c r="I321" s="203" t="s">
        <v>324</v>
      </c>
      <c r="J321" s="203" t="s">
        <v>325</v>
      </c>
      <c r="K321" s="203" t="s">
        <v>326</v>
      </c>
      <c r="L321" s="203" t="s">
        <v>327</v>
      </c>
      <c r="M321" s="203" t="s">
        <v>328</v>
      </c>
      <c r="N321" s="203" t="s">
        <v>329</v>
      </c>
    </row>
    <row r="322" spans="1:14" x14ac:dyDescent="0.25">
      <c r="A322" s="197" t="s">
        <v>334</v>
      </c>
    </row>
    <row r="323" spans="1:14" x14ac:dyDescent="0.25">
      <c r="A323" s="197" t="s">
        <v>335</v>
      </c>
    </row>
    <row r="324" spans="1:14" ht="30" x14ac:dyDescent="0.25">
      <c r="A324" s="197" t="s">
        <v>336</v>
      </c>
    </row>
    <row r="325" spans="1:14" x14ac:dyDescent="0.25">
      <c r="A325" s="197" t="s">
        <v>337</v>
      </c>
    </row>
    <row r="326" spans="1:14" ht="30" x14ac:dyDescent="0.25">
      <c r="A326" s="197" t="s">
        <v>338</v>
      </c>
    </row>
    <row r="327" spans="1:14" ht="30" x14ac:dyDescent="0.25">
      <c r="A327" s="204" t="s">
        <v>339</v>
      </c>
    </row>
    <row r="331" spans="1:14" x14ac:dyDescent="0.25">
      <c r="A331" s="203" t="s">
        <v>314</v>
      </c>
      <c r="B331" s="203" t="s">
        <v>318</v>
      </c>
      <c r="C331" s="203" t="s">
        <v>319</v>
      </c>
      <c r="D331" s="203" t="s">
        <v>320</v>
      </c>
      <c r="E331" s="203" t="s">
        <v>321</v>
      </c>
      <c r="F331" s="203" t="s">
        <v>54</v>
      </c>
      <c r="G331" s="203" t="s">
        <v>322</v>
      </c>
      <c r="H331" s="203" t="s">
        <v>323</v>
      </c>
      <c r="I331" s="203" t="s">
        <v>324</v>
      </c>
      <c r="J331" s="203" t="s">
        <v>325</v>
      </c>
      <c r="K331" s="203" t="s">
        <v>326</v>
      </c>
      <c r="L331" s="203" t="s">
        <v>327</v>
      </c>
      <c r="M331" s="203" t="s">
        <v>328</v>
      </c>
      <c r="N331" s="203" t="s">
        <v>329</v>
      </c>
    </row>
    <row r="332" spans="1:14" x14ac:dyDescent="0.25">
      <c r="A332" s="204" t="s">
        <v>340</v>
      </c>
    </row>
    <row r="333" spans="1:14" x14ac:dyDescent="0.25">
      <c r="A333" s="197" t="s">
        <v>106</v>
      </c>
    </row>
    <row r="334" spans="1:14" x14ac:dyDescent="0.25">
      <c r="A334" s="197" t="s">
        <v>341</v>
      </c>
    </row>
    <row r="335" spans="1:14" x14ac:dyDescent="0.25">
      <c r="A335" s="197" t="s">
        <v>342</v>
      </c>
    </row>
    <row r="336" spans="1:14" x14ac:dyDescent="0.25">
      <c r="A336" s="204" t="s">
        <v>343</v>
      </c>
    </row>
    <row r="337" spans="1:14" ht="30" x14ac:dyDescent="0.25">
      <c r="A337" s="197" t="s">
        <v>344</v>
      </c>
    </row>
    <row r="338" spans="1:14" ht="30" x14ac:dyDescent="0.25">
      <c r="A338" s="197" t="s">
        <v>345</v>
      </c>
    </row>
    <row r="339" spans="1:14" ht="30" x14ac:dyDescent="0.25">
      <c r="A339" s="197" t="s">
        <v>346</v>
      </c>
    </row>
    <row r="343" spans="1:14" x14ac:dyDescent="0.25">
      <c r="A343" s="203" t="s">
        <v>314</v>
      </c>
      <c r="B343" s="203" t="s">
        <v>318</v>
      </c>
      <c r="C343" s="203" t="s">
        <v>319</v>
      </c>
      <c r="D343" s="203" t="s">
        <v>320</v>
      </c>
      <c r="E343" s="203" t="s">
        <v>321</v>
      </c>
      <c r="F343" s="203" t="s">
        <v>54</v>
      </c>
      <c r="G343" s="203" t="s">
        <v>322</v>
      </c>
      <c r="H343" s="203" t="s">
        <v>323</v>
      </c>
      <c r="I343" s="203" t="s">
        <v>324</v>
      </c>
      <c r="J343" s="203" t="s">
        <v>325</v>
      </c>
      <c r="K343" s="203" t="s">
        <v>326</v>
      </c>
      <c r="L343" s="203" t="s">
        <v>327</v>
      </c>
      <c r="M343" s="203" t="s">
        <v>328</v>
      </c>
      <c r="N343" s="203" t="s">
        <v>329</v>
      </c>
    </row>
    <row r="344" spans="1:14" x14ac:dyDescent="0.25">
      <c r="A344" s="197" t="s">
        <v>347</v>
      </c>
    </row>
    <row r="345" spans="1:14" x14ac:dyDescent="0.25">
      <c r="A345" s="197" t="s">
        <v>348</v>
      </c>
    </row>
    <row r="346" spans="1:14" x14ac:dyDescent="0.25">
      <c r="A346" s="204" t="s">
        <v>349</v>
      </c>
    </row>
    <row r="347" spans="1:14" x14ac:dyDescent="0.25">
      <c r="A347" s="197" t="s">
        <v>350</v>
      </c>
    </row>
    <row r="348" spans="1:14" x14ac:dyDescent="0.25">
      <c r="A348" s="197" t="s">
        <v>351</v>
      </c>
    </row>
    <row r="349" spans="1:14" ht="30" x14ac:dyDescent="0.25">
      <c r="A349" s="197" t="s">
        <v>352</v>
      </c>
    </row>
    <row r="353" spans="1:14" x14ac:dyDescent="0.25">
      <c r="A353" s="203" t="s">
        <v>314</v>
      </c>
      <c r="B353" s="203" t="s">
        <v>318</v>
      </c>
      <c r="C353" s="203" t="s">
        <v>319</v>
      </c>
      <c r="D353" s="203" t="s">
        <v>320</v>
      </c>
      <c r="E353" s="203" t="s">
        <v>321</v>
      </c>
      <c r="F353" s="203" t="s">
        <v>54</v>
      </c>
      <c r="G353" s="203" t="s">
        <v>322</v>
      </c>
      <c r="H353" s="203" t="s">
        <v>323</v>
      </c>
      <c r="I353" s="203" t="s">
        <v>324</v>
      </c>
      <c r="J353" s="203" t="s">
        <v>325</v>
      </c>
      <c r="K353" s="203" t="s">
        <v>326</v>
      </c>
      <c r="L353" s="203" t="s">
        <v>327</v>
      </c>
      <c r="M353" s="203" t="s">
        <v>328</v>
      </c>
      <c r="N353" s="203" t="s">
        <v>329</v>
      </c>
    </row>
    <row r="354" spans="1:14" x14ac:dyDescent="0.25">
      <c r="A354" s="197" t="s">
        <v>68</v>
      </c>
    </row>
    <row r="355" spans="1:14" x14ac:dyDescent="0.25">
      <c r="A355" s="197" t="s">
        <v>353</v>
      </c>
    </row>
    <row r="356" spans="1:14" ht="30" x14ac:dyDescent="0.25">
      <c r="A356" s="197" t="s">
        <v>354</v>
      </c>
    </row>
    <row r="357" spans="1:14" x14ac:dyDescent="0.25">
      <c r="A357" s="197" t="s">
        <v>355</v>
      </c>
    </row>
    <row r="358" spans="1:14" ht="30" x14ac:dyDescent="0.25">
      <c r="A358" s="197" t="s">
        <v>356</v>
      </c>
    </row>
    <row r="362" spans="1:14" x14ac:dyDescent="0.25">
      <c r="A362" s="203" t="s">
        <v>314</v>
      </c>
      <c r="B362" s="203" t="s">
        <v>318</v>
      </c>
      <c r="C362" s="203" t="s">
        <v>319</v>
      </c>
      <c r="D362" s="203" t="s">
        <v>320</v>
      </c>
      <c r="E362" s="203" t="s">
        <v>321</v>
      </c>
      <c r="F362" s="203" t="s">
        <v>54</v>
      </c>
      <c r="G362" s="203" t="s">
        <v>322</v>
      </c>
      <c r="H362" s="203" t="s">
        <v>323</v>
      </c>
      <c r="I362" s="203" t="s">
        <v>324</v>
      </c>
      <c r="J362" s="203" t="s">
        <v>325</v>
      </c>
      <c r="K362" s="203" t="s">
        <v>326</v>
      </c>
      <c r="L362" s="203" t="s">
        <v>327</v>
      </c>
      <c r="M362" s="203" t="s">
        <v>328</v>
      </c>
      <c r="N362" s="203" t="s">
        <v>329</v>
      </c>
    </row>
    <row r="363" spans="1:14" x14ac:dyDescent="0.25">
      <c r="A363" s="197" t="s">
        <v>357</v>
      </c>
    </row>
    <row r="364" spans="1:14" ht="30" x14ac:dyDescent="0.25">
      <c r="A364" s="197" t="s">
        <v>358</v>
      </c>
    </row>
    <row r="365" spans="1:14" x14ac:dyDescent="0.25">
      <c r="A365" s="204" t="s">
        <v>359</v>
      </c>
    </row>
    <row r="366" spans="1:14" x14ac:dyDescent="0.25">
      <c r="A366" s="204" t="s">
        <v>360</v>
      </c>
    </row>
    <row r="367" spans="1:14" x14ac:dyDescent="0.25">
      <c r="A367" s="197" t="s">
        <v>361</v>
      </c>
    </row>
  </sheetData>
  <mergeCells count="6">
    <mergeCell ref="A303:N303"/>
    <mergeCell ref="B1:O1"/>
    <mergeCell ref="A26:N26"/>
    <mergeCell ref="A96:N96"/>
    <mergeCell ref="A167:N167"/>
    <mergeCell ref="A235:N23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39E9AA-717F-420B-B344-07F7D37A6FA7}">
  <sheetPr codeName="Feuil2">
    <tabColor theme="3" tint="0.499984740745262"/>
  </sheetPr>
  <dimension ref="A1:AB262"/>
  <sheetViews>
    <sheetView showGridLines="0" topLeftCell="A18" zoomScale="65" zoomScaleNormal="80" workbookViewId="0">
      <selection activeCell="T21" sqref="T21"/>
    </sheetView>
  </sheetViews>
  <sheetFormatPr baseColWidth="10" defaultColWidth="10.7109375" defaultRowHeight="15" x14ac:dyDescent="0.25"/>
  <cols>
    <col min="1" max="1" width="10.7109375" style="20"/>
    <col min="2" max="2" width="30.85546875" style="20" bestFit="1" customWidth="1"/>
    <col min="3" max="14" width="12.28515625" style="20" bestFit="1" customWidth="1"/>
    <col min="15" max="15" width="28" style="20" bestFit="1" customWidth="1"/>
    <col min="16" max="16" width="12.28515625" style="20" bestFit="1" customWidth="1"/>
    <col min="17" max="18" width="10.7109375" style="20"/>
    <col min="19" max="19" width="54" style="20" customWidth="1"/>
    <col min="20" max="20" width="39.42578125" style="20" customWidth="1"/>
    <col min="21" max="21" width="10.7109375" style="20"/>
    <col min="22" max="22" width="26.5703125" style="20" customWidth="1"/>
    <col min="23" max="23" width="24.85546875" style="20" customWidth="1"/>
    <col min="24" max="24" width="30.5703125" style="20" customWidth="1"/>
    <col min="25" max="26" width="10.7109375" style="20"/>
    <col min="27" max="27" width="30.28515625" style="20" customWidth="1"/>
    <col min="28" max="16384" width="10.7109375" style="20"/>
  </cols>
  <sheetData>
    <row r="1" spans="1:20" ht="28.5" x14ac:dyDescent="0.45">
      <c r="B1" s="212" t="s">
        <v>48</v>
      </c>
      <c r="C1" s="212"/>
      <c r="D1" s="212"/>
      <c r="E1" s="212"/>
      <c r="F1" s="212"/>
      <c r="G1" s="212"/>
      <c r="H1" s="212"/>
      <c r="I1" s="212"/>
      <c r="J1" s="212"/>
      <c r="K1" s="212"/>
      <c r="L1" s="212"/>
      <c r="M1" s="212"/>
      <c r="N1" s="212"/>
      <c r="O1" s="212"/>
      <c r="P1" s="212"/>
    </row>
    <row r="2" spans="1:20" x14ac:dyDescent="0.25">
      <c r="B2" s="218" t="s">
        <v>49</v>
      </c>
      <c r="C2" s="218"/>
      <c r="D2" s="218"/>
      <c r="E2" s="218"/>
      <c r="F2" s="218"/>
      <c r="G2" s="218"/>
      <c r="H2" s="218"/>
      <c r="I2" s="218"/>
      <c r="J2" s="218"/>
      <c r="K2" s="218"/>
      <c r="L2" s="218"/>
      <c r="M2" s="218"/>
      <c r="N2" s="218"/>
      <c r="O2" s="218"/>
      <c r="P2" s="218"/>
    </row>
    <row r="3" spans="1:20" x14ac:dyDescent="0.25">
      <c r="B3" s="213"/>
      <c r="C3" s="215" t="s">
        <v>50</v>
      </c>
      <c r="D3" s="215" t="s">
        <v>51</v>
      </c>
      <c r="E3" s="215" t="s">
        <v>52</v>
      </c>
      <c r="F3" s="215" t="s">
        <v>53</v>
      </c>
      <c r="G3" s="215" t="s">
        <v>54</v>
      </c>
      <c r="H3" s="215" t="s">
        <v>55</v>
      </c>
      <c r="I3" s="215" t="s">
        <v>56</v>
      </c>
      <c r="J3" s="215" t="s">
        <v>57</v>
      </c>
      <c r="K3" s="215" t="s">
        <v>58</v>
      </c>
      <c r="L3" s="215" t="s">
        <v>59</v>
      </c>
      <c r="M3" s="215" t="s">
        <v>60</v>
      </c>
      <c r="N3" s="215" t="s">
        <v>61</v>
      </c>
      <c r="O3" s="220" t="s">
        <v>62</v>
      </c>
      <c r="P3" s="221"/>
      <c r="S3" s="222" t="s">
        <v>63</v>
      </c>
      <c r="T3" s="222"/>
    </row>
    <row r="4" spans="1:20" x14ac:dyDescent="0.25">
      <c r="B4" s="214"/>
      <c r="C4" s="216"/>
      <c r="D4" s="216"/>
      <c r="E4" s="216"/>
      <c r="F4" s="216"/>
      <c r="G4" s="216"/>
      <c r="H4" s="216"/>
      <c r="I4" s="216"/>
      <c r="J4" s="216"/>
      <c r="K4" s="216"/>
      <c r="L4" s="216"/>
      <c r="M4" s="216"/>
      <c r="N4" s="216"/>
      <c r="O4" s="58" t="s">
        <v>64</v>
      </c>
      <c r="P4" s="58" t="s">
        <v>65</v>
      </c>
      <c r="S4" s="143" t="s">
        <v>1</v>
      </c>
      <c r="T4" s="21">
        <f>P5</f>
        <v>63024</v>
      </c>
    </row>
    <row r="5" spans="1:20" x14ac:dyDescent="0.25">
      <c r="B5" s="35" t="s">
        <v>66</v>
      </c>
      <c r="C5" s="35">
        <f>'Bilan et CDR N'!$C$5*1.01/12</f>
        <v>5252</v>
      </c>
      <c r="D5" s="35">
        <f>'Bilan et CDR N'!$C$5*1.01/12</f>
        <v>5252</v>
      </c>
      <c r="E5" s="35">
        <f>'Bilan et CDR N'!$C$5*1.01/12</f>
        <v>5252</v>
      </c>
      <c r="F5" s="35">
        <f>'Bilan et CDR N'!$C$5*1.01/12</f>
        <v>5252</v>
      </c>
      <c r="G5" s="35">
        <f>'Bilan et CDR N'!$C$5*1.01/12</f>
        <v>5252</v>
      </c>
      <c r="H5" s="35">
        <f>'Bilan et CDR N'!$C$5*1.01/12</f>
        <v>5252</v>
      </c>
      <c r="I5" s="35">
        <f>'Bilan et CDR N'!$C$5*1.01/12</f>
        <v>5252</v>
      </c>
      <c r="J5" s="35">
        <f>'Bilan et CDR N'!$C$5*1.01/12</f>
        <v>5252</v>
      </c>
      <c r="K5" s="35">
        <f>'Bilan et CDR N'!$C$5*1.01/12</f>
        <v>5252</v>
      </c>
      <c r="L5" s="35">
        <f>'Bilan et CDR N'!$C$5*1.01/12</f>
        <v>5252</v>
      </c>
      <c r="M5" s="35">
        <f>'Bilan et CDR N'!$C$5*1.01/12</f>
        <v>5252</v>
      </c>
      <c r="N5" s="35">
        <f>'Bilan et CDR N'!$C$5*1.01/12</f>
        <v>5252</v>
      </c>
      <c r="O5" s="60" t="s">
        <v>1</v>
      </c>
      <c r="P5" s="61">
        <f>SUM(C5:N5)</f>
        <v>63024</v>
      </c>
      <c r="S5" s="143" t="s">
        <v>67</v>
      </c>
      <c r="T5" s="21">
        <v>0</v>
      </c>
    </row>
    <row r="6" spans="1:20" x14ac:dyDescent="0.25">
      <c r="B6" s="34" t="s">
        <v>68</v>
      </c>
      <c r="C6" s="34">
        <f>C5*20%</f>
        <v>1050.4000000000001</v>
      </c>
      <c r="D6" s="34">
        <f t="shared" ref="D6:N6" si="0">D5*20%</f>
        <v>1050.4000000000001</v>
      </c>
      <c r="E6" s="34">
        <f t="shared" si="0"/>
        <v>1050.4000000000001</v>
      </c>
      <c r="F6" s="34">
        <f t="shared" si="0"/>
        <v>1050.4000000000001</v>
      </c>
      <c r="G6" s="34">
        <f t="shared" si="0"/>
        <v>1050.4000000000001</v>
      </c>
      <c r="H6" s="34">
        <f t="shared" si="0"/>
        <v>1050.4000000000001</v>
      </c>
      <c r="I6" s="34">
        <f t="shared" si="0"/>
        <v>1050.4000000000001</v>
      </c>
      <c r="J6" s="34">
        <f t="shared" si="0"/>
        <v>1050.4000000000001</v>
      </c>
      <c r="K6" s="34">
        <f t="shared" si="0"/>
        <v>1050.4000000000001</v>
      </c>
      <c r="L6" s="34">
        <f t="shared" si="0"/>
        <v>1050.4000000000001</v>
      </c>
      <c r="M6" s="34">
        <f t="shared" si="0"/>
        <v>1050.4000000000001</v>
      </c>
      <c r="N6" s="34">
        <f t="shared" si="0"/>
        <v>1050.4000000000001</v>
      </c>
      <c r="O6" s="34"/>
      <c r="P6" s="34"/>
      <c r="S6" s="144" t="s">
        <v>10</v>
      </c>
      <c r="T6" s="131">
        <f>T4+T5</f>
        <v>63024</v>
      </c>
    </row>
    <row r="7" spans="1:20" x14ac:dyDescent="0.25">
      <c r="B7" s="34" t="s">
        <v>69</v>
      </c>
      <c r="C7" s="34">
        <f>C5+C6</f>
        <v>6302.4</v>
      </c>
      <c r="D7" s="34">
        <f t="shared" ref="D7:N7" si="1">D5+D6</f>
        <v>6302.4</v>
      </c>
      <c r="E7" s="34">
        <f t="shared" si="1"/>
        <v>6302.4</v>
      </c>
      <c r="F7" s="34">
        <f t="shared" si="1"/>
        <v>6302.4</v>
      </c>
      <c r="G7" s="34">
        <f t="shared" si="1"/>
        <v>6302.4</v>
      </c>
      <c r="H7" s="34">
        <f t="shared" si="1"/>
        <v>6302.4</v>
      </c>
      <c r="I7" s="34">
        <f t="shared" si="1"/>
        <v>6302.4</v>
      </c>
      <c r="J7" s="34">
        <f t="shared" si="1"/>
        <v>6302.4</v>
      </c>
      <c r="K7" s="34">
        <f t="shared" si="1"/>
        <v>6302.4</v>
      </c>
      <c r="L7" s="34">
        <f t="shared" si="1"/>
        <v>6302.4</v>
      </c>
      <c r="M7" s="34">
        <f t="shared" si="1"/>
        <v>6302.4</v>
      </c>
      <c r="N7" s="34">
        <f t="shared" si="1"/>
        <v>6302.4</v>
      </c>
      <c r="O7" s="34"/>
      <c r="P7" s="34"/>
      <c r="S7" s="143" t="s">
        <v>70</v>
      </c>
      <c r="T7" s="21">
        <f>P14</f>
        <v>18907.2</v>
      </c>
    </row>
    <row r="8" spans="1:20" x14ac:dyDescent="0.25">
      <c r="B8" s="59" t="s">
        <v>71</v>
      </c>
      <c r="C8" s="59">
        <f>'Bilan et CDR N'!I14</f>
        <v>78000</v>
      </c>
      <c r="D8" s="59">
        <f>C7</f>
        <v>6302.4</v>
      </c>
      <c r="E8" s="59">
        <f>D7</f>
        <v>6302.4</v>
      </c>
      <c r="F8" s="59">
        <f>E7</f>
        <v>6302.4</v>
      </c>
      <c r="G8" s="59">
        <f>F7</f>
        <v>6302.4</v>
      </c>
      <c r="H8" s="59">
        <f>G7</f>
        <v>6302.4</v>
      </c>
      <c r="I8" s="59">
        <f t="shared" ref="I8:N8" si="2">H7</f>
        <v>6302.4</v>
      </c>
      <c r="J8" s="59">
        <f t="shared" si="2"/>
        <v>6302.4</v>
      </c>
      <c r="K8" s="59">
        <f t="shared" si="2"/>
        <v>6302.4</v>
      </c>
      <c r="L8" s="59">
        <f t="shared" si="2"/>
        <v>6302.4</v>
      </c>
      <c r="M8" s="59">
        <f t="shared" si="2"/>
        <v>6302.4</v>
      </c>
      <c r="N8" s="59">
        <f t="shared" si="2"/>
        <v>6302.4</v>
      </c>
      <c r="O8" s="60" t="s">
        <v>72</v>
      </c>
      <c r="P8" s="61">
        <f>N7</f>
        <v>6302.4</v>
      </c>
      <c r="S8" s="143" t="s">
        <v>73</v>
      </c>
      <c r="T8" s="21">
        <f>P23</f>
        <v>85200</v>
      </c>
    </row>
    <row r="9" spans="1:20" x14ac:dyDescent="0.25">
      <c r="A9" s="217"/>
      <c r="S9" s="143" t="s">
        <v>18</v>
      </c>
      <c r="T9" s="21">
        <f>P39</f>
        <v>8200</v>
      </c>
    </row>
    <row r="10" spans="1:20" x14ac:dyDescent="0.25">
      <c r="A10" s="217"/>
      <c r="S10" s="143" t="s">
        <v>20</v>
      </c>
      <c r="T10" s="21">
        <f>P31</f>
        <v>307500</v>
      </c>
    </row>
    <row r="11" spans="1:20" x14ac:dyDescent="0.25">
      <c r="B11" s="219" t="s">
        <v>74</v>
      </c>
      <c r="C11" s="219"/>
      <c r="D11" s="219"/>
      <c r="E11" s="219"/>
      <c r="F11" s="219"/>
      <c r="G11" s="219"/>
      <c r="H11" s="219"/>
      <c r="I11" s="219"/>
      <c r="J11" s="219"/>
      <c r="K11" s="219"/>
      <c r="L11" s="219"/>
      <c r="M11" s="219"/>
      <c r="N11" s="219"/>
      <c r="O11" s="219"/>
      <c r="P11" s="219"/>
      <c r="S11" s="143" t="s">
        <v>21</v>
      </c>
      <c r="T11" s="21">
        <f>P32</f>
        <v>123000</v>
      </c>
    </row>
    <row r="12" spans="1:20" x14ac:dyDescent="0.25">
      <c r="B12" s="213"/>
      <c r="C12" s="215" t="s">
        <v>50</v>
      </c>
      <c r="D12" s="215" t="s">
        <v>51</v>
      </c>
      <c r="E12" s="215" t="s">
        <v>52</v>
      </c>
      <c r="F12" s="215" t="s">
        <v>53</v>
      </c>
      <c r="G12" s="215" t="s">
        <v>54</v>
      </c>
      <c r="H12" s="215" t="s">
        <v>55</v>
      </c>
      <c r="I12" s="215" t="s">
        <v>56</v>
      </c>
      <c r="J12" s="215" t="s">
        <v>57</v>
      </c>
      <c r="K12" s="215" t="s">
        <v>58</v>
      </c>
      <c r="L12" s="215" t="s">
        <v>59</v>
      </c>
      <c r="M12" s="215" t="s">
        <v>60</v>
      </c>
      <c r="N12" s="215" t="s">
        <v>61</v>
      </c>
      <c r="O12" s="220" t="s">
        <v>62</v>
      </c>
      <c r="P12" s="221"/>
      <c r="S12" s="143" t="s">
        <v>75</v>
      </c>
      <c r="T12" s="21">
        <f>P28</f>
        <v>10714.285714285714</v>
      </c>
    </row>
    <row r="13" spans="1:20" x14ac:dyDescent="0.25">
      <c r="B13" s="214"/>
      <c r="C13" s="216"/>
      <c r="D13" s="216"/>
      <c r="E13" s="216"/>
      <c r="F13" s="216"/>
      <c r="G13" s="216"/>
      <c r="H13" s="216"/>
      <c r="I13" s="216"/>
      <c r="J13" s="216"/>
      <c r="K13" s="216"/>
      <c r="L13" s="216"/>
      <c r="M13" s="216"/>
      <c r="N13" s="216"/>
      <c r="O13" s="58" t="s">
        <v>64</v>
      </c>
      <c r="P13" s="58" t="s">
        <v>65</v>
      </c>
      <c r="S13" s="144" t="s">
        <v>76</v>
      </c>
      <c r="T13" s="131">
        <f>SUM(T7:T12)</f>
        <v>553521.48571428563</v>
      </c>
    </row>
    <row r="14" spans="1:20" x14ac:dyDescent="0.25">
      <c r="B14" s="35" t="s">
        <v>77</v>
      </c>
      <c r="C14" s="35">
        <f>C5*30%</f>
        <v>1575.6</v>
      </c>
      <c r="D14" s="35">
        <f t="shared" ref="D14:N14" si="3">D5*30%</f>
        <v>1575.6</v>
      </c>
      <c r="E14" s="35">
        <f t="shared" si="3"/>
        <v>1575.6</v>
      </c>
      <c r="F14" s="35">
        <f t="shared" si="3"/>
        <v>1575.6</v>
      </c>
      <c r="G14" s="35">
        <f t="shared" si="3"/>
        <v>1575.6</v>
      </c>
      <c r="H14" s="35">
        <f t="shared" si="3"/>
        <v>1575.6</v>
      </c>
      <c r="I14" s="35">
        <f t="shared" si="3"/>
        <v>1575.6</v>
      </c>
      <c r="J14" s="35">
        <f t="shared" si="3"/>
        <v>1575.6</v>
      </c>
      <c r="K14" s="35">
        <f t="shared" si="3"/>
        <v>1575.6</v>
      </c>
      <c r="L14" s="35">
        <f t="shared" si="3"/>
        <v>1575.6</v>
      </c>
      <c r="M14" s="35">
        <f t="shared" si="3"/>
        <v>1575.6</v>
      </c>
      <c r="N14" s="35">
        <f t="shared" si="3"/>
        <v>1575.6</v>
      </c>
      <c r="O14" s="60" t="s">
        <v>78</v>
      </c>
      <c r="P14" s="61">
        <f>SUM(C14:N14)</f>
        <v>18907.2</v>
      </c>
      <c r="S14" s="154" t="s">
        <v>30</v>
      </c>
      <c r="T14" s="155">
        <f>T6-T13</f>
        <v>-490497.48571428563</v>
      </c>
    </row>
    <row r="15" spans="1:20" x14ac:dyDescent="0.25">
      <c r="B15" s="34" t="s">
        <v>79</v>
      </c>
      <c r="C15" s="34">
        <f>C14*20%</f>
        <v>315.12</v>
      </c>
      <c r="D15" s="34">
        <f t="shared" ref="D15:N15" si="4">D14*20%</f>
        <v>315.12</v>
      </c>
      <c r="E15" s="34">
        <f t="shared" si="4"/>
        <v>315.12</v>
      </c>
      <c r="F15" s="34">
        <f t="shared" si="4"/>
        <v>315.12</v>
      </c>
      <c r="G15" s="34">
        <f t="shared" si="4"/>
        <v>315.12</v>
      </c>
      <c r="H15" s="34">
        <f t="shared" si="4"/>
        <v>315.12</v>
      </c>
      <c r="I15" s="34">
        <f t="shared" si="4"/>
        <v>315.12</v>
      </c>
      <c r="J15" s="34">
        <f t="shared" si="4"/>
        <v>315.12</v>
      </c>
      <c r="K15" s="34">
        <f t="shared" si="4"/>
        <v>315.12</v>
      </c>
      <c r="L15" s="34">
        <f t="shared" si="4"/>
        <v>315.12</v>
      </c>
      <c r="M15" s="34">
        <f t="shared" si="4"/>
        <v>315.12</v>
      </c>
      <c r="N15" s="34">
        <f t="shared" si="4"/>
        <v>315.12</v>
      </c>
      <c r="O15" s="34"/>
      <c r="P15" s="34"/>
      <c r="S15" s="144" t="s">
        <v>33</v>
      </c>
      <c r="T15" s="131">
        <v>0</v>
      </c>
    </row>
    <row r="16" spans="1:20" x14ac:dyDescent="0.25">
      <c r="B16" s="34" t="s">
        <v>80</v>
      </c>
      <c r="C16" s="34">
        <f>C14+C15</f>
        <v>1890.7199999999998</v>
      </c>
      <c r="D16" s="34">
        <f t="shared" ref="D16:N16" si="5">D14+D15</f>
        <v>1890.7199999999998</v>
      </c>
      <c r="E16" s="34">
        <f t="shared" si="5"/>
        <v>1890.7199999999998</v>
      </c>
      <c r="F16" s="34">
        <f t="shared" si="5"/>
        <v>1890.7199999999998</v>
      </c>
      <c r="G16" s="34">
        <f t="shared" si="5"/>
        <v>1890.7199999999998</v>
      </c>
      <c r="H16" s="34">
        <f t="shared" si="5"/>
        <v>1890.7199999999998</v>
      </c>
      <c r="I16" s="34">
        <f t="shared" si="5"/>
        <v>1890.7199999999998</v>
      </c>
      <c r="J16" s="34">
        <f t="shared" si="5"/>
        <v>1890.7199999999998</v>
      </c>
      <c r="K16" s="34">
        <f t="shared" si="5"/>
        <v>1890.7199999999998</v>
      </c>
      <c r="L16" s="34">
        <f t="shared" si="5"/>
        <v>1890.7199999999998</v>
      </c>
      <c r="M16" s="34">
        <f t="shared" si="5"/>
        <v>1890.7199999999998</v>
      </c>
      <c r="N16" s="34">
        <f t="shared" si="5"/>
        <v>1890.7199999999998</v>
      </c>
      <c r="O16" s="34"/>
      <c r="P16" s="34"/>
      <c r="S16" s="143" t="s">
        <v>36</v>
      </c>
      <c r="T16" s="21">
        <f>P41</f>
        <v>4200</v>
      </c>
    </row>
    <row r="17" spans="2:28" x14ac:dyDescent="0.25">
      <c r="B17" s="59" t="s">
        <v>81</v>
      </c>
      <c r="C17" s="59">
        <f>C16+'Bilan et CDR N'!K14</f>
        <v>25390.720000000001</v>
      </c>
      <c r="D17" s="59">
        <f>D16</f>
        <v>1890.7199999999998</v>
      </c>
      <c r="E17" s="59">
        <f t="shared" ref="E17:N17" si="6">E16</f>
        <v>1890.7199999999998</v>
      </c>
      <c r="F17" s="59">
        <f t="shared" si="6"/>
        <v>1890.7199999999998</v>
      </c>
      <c r="G17" s="59">
        <f t="shared" si="6"/>
        <v>1890.7199999999998</v>
      </c>
      <c r="H17" s="59">
        <f t="shared" si="6"/>
        <v>1890.7199999999998</v>
      </c>
      <c r="I17" s="59">
        <f t="shared" si="6"/>
        <v>1890.7199999999998</v>
      </c>
      <c r="J17" s="59">
        <f t="shared" si="6"/>
        <v>1890.7199999999998</v>
      </c>
      <c r="K17" s="59">
        <f t="shared" si="6"/>
        <v>1890.7199999999998</v>
      </c>
      <c r="L17" s="59">
        <f t="shared" si="6"/>
        <v>1890.7199999999998</v>
      </c>
      <c r="M17" s="59">
        <f t="shared" si="6"/>
        <v>1890.7199999999998</v>
      </c>
      <c r="N17" s="59">
        <f t="shared" si="6"/>
        <v>1890.7199999999998</v>
      </c>
      <c r="O17" s="60" t="s">
        <v>82</v>
      </c>
      <c r="P17" s="61">
        <v>0</v>
      </c>
      <c r="S17" s="144" t="s">
        <v>37</v>
      </c>
      <c r="T17" s="131">
        <f>T16</f>
        <v>4200</v>
      </c>
    </row>
    <row r="18" spans="2:28" x14ac:dyDescent="0.25">
      <c r="S18" s="154" t="s">
        <v>40</v>
      </c>
      <c r="T18" s="155">
        <f>T15-T17</f>
        <v>-4200</v>
      </c>
    </row>
    <row r="19" spans="2:28" x14ac:dyDescent="0.25">
      <c r="S19" s="154" t="s">
        <v>43</v>
      </c>
      <c r="T19" s="155">
        <f>T14-(-T18)</f>
        <v>-494697.48571428563</v>
      </c>
    </row>
    <row r="20" spans="2:28" x14ac:dyDescent="0.25">
      <c r="B20" s="219" t="s">
        <v>83</v>
      </c>
      <c r="C20" s="219"/>
      <c r="D20" s="219"/>
      <c r="E20" s="219"/>
      <c r="F20" s="219"/>
      <c r="G20" s="219"/>
      <c r="H20" s="219"/>
      <c r="I20" s="219"/>
      <c r="J20" s="219"/>
      <c r="K20" s="219"/>
      <c r="L20" s="219"/>
      <c r="M20" s="219"/>
      <c r="N20" s="219"/>
      <c r="O20" s="219"/>
      <c r="P20" s="219"/>
      <c r="S20" s="154" t="s">
        <v>45</v>
      </c>
      <c r="T20" s="21"/>
    </row>
    <row r="21" spans="2:28" x14ac:dyDescent="0.25">
      <c r="B21" s="213"/>
      <c r="C21" s="215" t="s">
        <v>50</v>
      </c>
      <c r="D21" s="215" t="s">
        <v>51</v>
      </c>
      <c r="E21" s="215" t="s">
        <v>52</v>
      </c>
      <c r="F21" s="215" t="s">
        <v>53</v>
      </c>
      <c r="G21" s="215" t="s">
        <v>54</v>
      </c>
      <c r="H21" s="215" t="s">
        <v>55</v>
      </c>
      <c r="I21" s="215" t="s">
        <v>56</v>
      </c>
      <c r="J21" s="215" t="s">
        <v>57</v>
      </c>
      <c r="K21" s="215" t="s">
        <v>58</v>
      </c>
      <c r="L21" s="215" t="s">
        <v>59</v>
      </c>
      <c r="M21" s="215" t="s">
        <v>60</v>
      </c>
      <c r="N21" s="215" t="s">
        <v>61</v>
      </c>
      <c r="O21" s="220" t="s">
        <v>62</v>
      </c>
      <c r="P21" s="221"/>
      <c r="S21" s="160" t="s">
        <v>47</v>
      </c>
      <c r="T21" s="161">
        <f>T19</f>
        <v>-494697.48571428563</v>
      </c>
    </row>
    <row r="22" spans="2:28" x14ac:dyDescent="0.25">
      <c r="B22" s="214"/>
      <c r="C22" s="216"/>
      <c r="D22" s="216"/>
      <c r="E22" s="216"/>
      <c r="F22" s="216"/>
      <c r="G22" s="216"/>
      <c r="H22" s="216"/>
      <c r="I22" s="216"/>
      <c r="J22" s="216"/>
      <c r="K22" s="216"/>
      <c r="L22" s="216"/>
      <c r="M22" s="216"/>
      <c r="N22" s="216"/>
      <c r="O22" s="58" t="s">
        <v>64</v>
      </c>
      <c r="P22" s="58" t="s">
        <v>65</v>
      </c>
    </row>
    <row r="23" spans="2:28" x14ac:dyDescent="0.25">
      <c r="B23" s="35" t="s">
        <v>84</v>
      </c>
      <c r="C23" s="35">
        <v>7100</v>
      </c>
      <c r="D23" s="35">
        <v>7100</v>
      </c>
      <c r="E23" s="35">
        <v>7100</v>
      </c>
      <c r="F23" s="35">
        <v>7100</v>
      </c>
      <c r="G23" s="35">
        <v>7100</v>
      </c>
      <c r="H23" s="35">
        <v>7100</v>
      </c>
      <c r="I23" s="35">
        <v>7100</v>
      </c>
      <c r="J23" s="35">
        <v>7100</v>
      </c>
      <c r="K23" s="35">
        <v>7100</v>
      </c>
      <c r="L23" s="35">
        <v>7100</v>
      </c>
      <c r="M23" s="35">
        <v>7100</v>
      </c>
      <c r="N23" s="35">
        <v>7100</v>
      </c>
      <c r="O23" s="60" t="s">
        <v>85</v>
      </c>
      <c r="P23" s="61">
        <f>SUM(C23:N23)</f>
        <v>85200</v>
      </c>
    </row>
    <row r="24" spans="2:28" x14ac:dyDescent="0.25">
      <c r="B24" s="34" t="s">
        <v>86</v>
      </c>
      <c r="C24" s="34">
        <f>C23*20%</f>
        <v>1420</v>
      </c>
      <c r="D24" s="34">
        <f t="shared" ref="D24:N24" si="7">D23*20%</f>
        <v>1420</v>
      </c>
      <c r="E24" s="34">
        <f t="shared" si="7"/>
        <v>1420</v>
      </c>
      <c r="F24" s="34">
        <f t="shared" si="7"/>
        <v>1420</v>
      </c>
      <c r="G24" s="34">
        <f t="shared" si="7"/>
        <v>1420</v>
      </c>
      <c r="H24" s="34">
        <f t="shared" si="7"/>
        <v>1420</v>
      </c>
      <c r="I24" s="34">
        <f t="shared" si="7"/>
        <v>1420</v>
      </c>
      <c r="J24" s="34">
        <f t="shared" si="7"/>
        <v>1420</v>
      </c>
      <c r="K24" s="34">
        <f t="shared" si="7"/>
        <v>1420</v>
      </c>
      <c r="L24" s="34">
        <f t="shared" si="7"/>
        <v>1420</v>
      </c>
      <c r="M24" s="34">
        <f t="shared" si="7"/>
        <v>1420</v>
      </c>
      <c r="N24" s="34">
        <f t="shared" si="7"/>
        <v>1420</v>
      </c>
      <c r="O24" s="34"/>
      <c r="P24" s="34"/>
    </row>
    <row r="25" spans="2:28" x14ac:dyDescent="0.25">
      <c r="B25" s="34" t="s">
        <v>87</v>
      </c>
      <c r="C25" s="34">
        <f>C23+C24</f>
        <v>8520</v>
      </c>
      <c r="D25" s="34">
        <f t="shared" ref="D25:N25" si="8">D23+D24</f>
        <v>8520</v>
      </c>
      <c r="E25" s="34">
        <f t="shared" si="8"/>
        <v>8520</v>
      </c>
      <c r="F25" s="34">
        <f t="shared" si="8"/>
        <v>8520</v>
      </c>
      <c r="G25" s="34">
        <f t="shared" si="8"/>
        <v>8520</v>
      </c>
      <c r="H25" s="34">
        <f t="shared" si="8"/>
        <v>8520</v>
      </c>
      <c r="I25" s="34">
        <f t="shared" si="8"/>
        <v>8520</v>
      </c>
      <c r="J25" s="34">
        <f t="shared" si="8"/>
        <v>8520</v>
      </c>
      <c r="K25" s="34">
        <f t="shared" si="8"/>
        <v>8520</v>
      </c>
      <c r="L25" s="34">
        <f t="shared" si="8"/>
        <v>8520</v>
      </c>
      <c r="M25" s="34">
        <f t="shared" si="8"/>
        <v>8520</v>
      </c>
      <c r="N25" s="34">
        <f t="shared" si="8"/>
        <v>8520</v>
      </c>
      <c r="O25" s="34"/>
      <c r="P25" s="34"/>
      <c r="S25" s="223" t="s">
        <v>88</v>
      </c>
      <c r="T25" s="224"/>
      <c r="U25" s="224"/>
      <c r="V25" s="224"/>
      <c r="W25" s="224"/>
      <c r="X25" s="224"/>
    </row>
    <row r="26" spans="2:28" ht="30" x14ac:dyDescent="0.25">
      <c r="B26" s="59" t="s">
        <v>81</v>
      </c>
      <c r="C26" s="59">
        <f>+C23+C24</f>
        <v>8520</v>
      </c>
      <c r="D26" s="59">
        <f t="shared" ref="D26:N26" si="9">+D23+D24</f>
        <v>8520</v>
      </c>
      <c r="E26" s="59">
        <f t="shared" si="9"/>
        <v>8520</v>
      </c>
      <c r="F26" s="59">
        <f t="shared" si="9"/>
        <v>8520</v>
      </c>
      <c r="G26" s="59">
        <f t="shared" si="9"/>
        <v>8520</v>
      </c>
      <c r="H26" s="59">
        <f t="shared" si="9"/>
        <v>8520</v>
      </c>
      <c r="I26" s="59">
        <f t="shared" si="9"/>
        <v>8520</v>
      </c>
      <c r="J26" s="59">
        <f t="shared" si="9"/>
        <v>8520</v>
      </c>
      <c r="K26" s="59">
        <f t="shared" si="9"/>
        <v>8520</v>
      </c>
      <c r="L26" s="59">
        <f t="shared" si="9"/>
        <v>8520</v>
      </c>
      <c r="M26" s="59">
        <f t="shared" si="9"/>
        <v>8520</v>
      </c>
      <c r="N26" s="59">
        <f t="shared" si="9"/>
        <v>8520</v>
      </c>
      <c r="O26" s="34"/>
      <c r="P26" s="34"/>
      <c r="S26" s="144" t="s">
        <v>2</v>
      </c>
      <c r="T26" s="145" t="s">
        <v>3</v>
      </c>
      <c r="U26" s="145" t="s">
        <v>4</v>
      </c>
      <c r="V26" s="145" t="s">
        <v>5</v>
      </c>
      <c r="W26" s="146" t="s">
        <v>6</v>
      </c>
      <c r="X26" s="147" t="s">
        <v>5</v>
      </c>
    </row>
    <row r="27" spans="2:28" x14ac:dyDescent="0.25">
      <c r="B27" s="34" t="s">
        <v>89</v>
      </c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>
        <v>7500</v>
      </c>
      <c r="O27" s="60" t="s">
        <v>90</v>
      </c>
      <c r="P27" s="61">
        <f>Emprunt!K4</f>
        <v>3214.2857142857142</v>
      </c>
      <c r="S27" s="148" t="s">
        <v>8</v>
      </c>
      <c r="T27" s="148">
        <f>SUM(T28:T31)</f>
        <v>236500</v>
      </c>
      <c r="U27" s="148">
        <f>SUM(U28:U29)</f>
        <v>49814.285714285717</v>
      </c>
      <c r="V27" s="148">
        <f>SUM(V28:V29)</f>
        <v>186685.71428571426</v>
      </c>
      <c r="W27" s="148" t="s">
        <v>9</v>
      </c>
      <c r="X27" s="149">
        <f>SUM(X28:X31)</f>
        <v>-416969.48571428563</v>
      </c>
      <c r="AA27" s="225" t="s">
        <v>91</v>
      </c>
      <c r="AB27" s="226"/>
    </row>
    <row r="28" spans="2:28" x14ac:dyDescent="0.25">
      <c r="B28" s="34" t="s">
        <v>92</v>
      </c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>
        <f>P27</f>
        <v>3214.2857142857142</v>
      </c>
      <c r="O28" s="60" t="s">
        <v>93</v>
      </c>
      <c r="P28" s="61">
        <f>SUM(C29:N29)</f>
        <v>10714.285714285714</v>
      </c>
      <c r="S28" s="150" t="s">
        <v>11</v>
      </c>
      <c r="T28" s="150">
        <v>159000</v>
      </c>
      <c r="U28" s="150">
        <f>8500+AB31</f>
        <v>14072.429906542056</v>
      </c>
      <c r="V28" s="150">
        <f>T28-U28</f>
        <v>144927.57009345794</v>
      </c>
      <c r="W28" s="150" t="s">
        <v>12</v>
      </c>
      <c r="X28" s="151">
        <v>50000</v>
      </c>
      <c r="AA28" s="155">
        <v>55</v>
      </c>
      <c r="AB28" s="155"/>
    </row>
    <row r="29" spans="2:28" x14ac:dyDescent="0.25">
      <c r="B29" s="59" t="s">
        <v>94</v>
      </c>
      <c r="C29" s="59">
        <f>C27+C28</f>
        <v>0</v>
      </c>
      <c r="D29" s="59">
        <f t="shared" ref="D29:N29" si="10">D27+D28</f>
        <v>0</v>
      </c>
      <c r="E29" s="59">
        <f t="shared" si="10"/>
        <v>0</v>
      </c>
      <c r="F29" s="59">
        <f t="shared" si="10"/>
        <v>0</v>
      </c>
      <c r="G29" s="59">
        <f t="shared" si="10"/>
        <v>0</v>
      </c>
      <c r="H29" s="59">
        <f t="shared" si="10"/>
        <v>0</v>
      </c>
      <c r="I29" s="59">
        <f t="shared" si="10"/>
        <v>0</v>
      </c>
      <c r="J29" s="59">
        <f t="shared" si="10"/>
        <v>0</v>
      </c>
      <c r="K29" s="59">
        <f t="shared" si="10"/>
        <v>0</v>
      </c>
      <c r="L29" s="59">
        <f t="shared" si="10"/>
        <v>0</v>
      </c>
      <c r="M29" s="59">
        <f t="shared" si="10"/>
        <v>0</v>
      </c>
      <c r="N29" s="59">
        <f t="shared" si="10"/>
        <v>10714.285714285714</v>
      </c>
      <c r="O29" s="34"/>
      <c r="P29" s="34"/>
      <c r="S29" s="150" t="s">
        <v>14</v>
      </c>
      <c r="T29" s="150">
        <f>55000+22500</f>
        <v>77500</v>
      </c>
      <c r="U29" s="150">
        <f>30600+AA30+P27</f>
        <v>35741.855807743661</v>
      </c>
      <c r="V29" s="150">
        <f>T29-U29</f>
        <v>41758.144192256339</v>
      </c>
      <c r="W29" s="150" t="s">
        <v>15</v>
      </c>
      <c r="X29" s="151">
        <v>5000</v>
      </c>
      <c r="AA29" s="155"/>
      <c r="AB29" s="155">
        <v>159</v>
      </c>
    </row>
    <row r="30" spans="2:28" ht="30" x14ac:dyDescent="0.25">
      <c r="B30" s="34" t="s">
        <v>95</v>
      </c>
      <c r="C30" s="34">
        <f t="shared" ref="C30:N30" si="11">307500/12</f>
        <v>25625</v>
      </c>
      <c r="D30" s="34">
        <f t="shared" si="11"/>
        <v>25625</v>
      </c>
      <c r="E30" s="34">
        <f t="shared" si="11"/>
        <v>25625</v>
      </c>
      <c r="F30" s="34">
        <f t="shared" si="11"/>
        <v>25625</v>
      </c>
      <c r="G30" s="34">
        <f t="shared" si="11"/>
        <v>25625</v>
      </c>
      <c r="H30" s="34">
        <f t="shared" si="11"/>
        <v>25625</v>
      </c>
      <c r="I30" s="34">
        <f t="shared" si="11"/>
        <v>25625</v>
      </c>
      <c r="J30" s="34">
        <f t="shared" si="11"/>
        <v>25625</v>
      </c>
      <c r="K30" s="34">
        <f t="shared" si="11"/>
        <v>25625</v>
      </c>
      <c r="L30" s="34">
        <f t="shared" si="11"/>
        <v>25625</v>
      </c>
      <c r="M30" s="34">
        <f t="shared" si="11"/>
        <v>25625</v>
      </c>
      <c r="N30" s="34">
        <f t="shared" si="11"/>
        <v>25625</v>
      </c>
      <c r="O30" s="37"/>
      <c r="P30" s="37"/>
      <c r="S30" s="148"/>
      <c r="T30" s="148"/>
      <c r="U30" s="148"/>
      <c r="V30" s="148"/>
      <c r="W30" s="150" t="s">
        <v>17</v>
      </c>
      <c r="X30" s="151">
        <f>17900+'Bilan et CDR N'!C23</f>
        <v>22728</v>
      </c>
      <c r="AA30" s="155">
        <f>AA28/AB30*7500</f>
        <v>1927.5700934579438</v>
      </c>
      <c r="AB30" s="155">
        <v>214</v>
      </c>
    </row>
    <row r="31" spans="2:28" x14ac:dyDescent="0.25">
      <c r="B31" s="59" t="s">
        <v>96</v>
      </c>
      <c r="C31" s="59">
        <f t="shared" ref="C31:N31" si="12">C30</f>
        <v>25625</v>
      </c>
      <c r="D31" s="59">
        <f t="shared" si="12"/>
        <v>25625</v>
      </c>
      <c r="E31" s="59">
        <f t="shared" si="12"/>
        <v>25625</v>
      </c>
      <c r="F31" s="59">
        <f t="shared" si="12"/>
        <v>25625</v>
      </c>
      <c r="G31" s="59">
        <f t="shared" si="12"/>
        <v>25625</v>
      </c>
      <c r="H31" s="59">
        <f t="shared" si="12"/>
        <v>25625</v>
      </c>
      <c r="I31" s="59">
        <f t="shared" si="12"/>
        <v>25625</v>
      </c>
      <c r="J31" s="59">
        <f t="shared" si="12"/>
        <v>25625</v>
      </c>
      <c r="K31" s="59">
        <f t="shared" si="12"/>
        <v>25625</v>
      </c>
      <c r="L31" s="59">
        <f t="shared" si="12"/>
        <v>25625</v>
      </c>
      <c r="M31" s="59">
        <f t="shared" si="12"/>
        <v>25625</v>
      </c>
      <c r="N31" s="59">
        <f t="shared" si="12"/>
        <v>25625</v>
      </c>
      <c r="O31" s="60" t="s">
        <v>97</v>
      </c>
      <c r="P31" s="61">
        <f>SUM(C31:N31)</f>
        <v>307500</v>
      </c>
      <c r="S31" s="150"/>
      <c r="T31" s="150"/>
      <c r="U31" s="150"/>
      <c r="V31" s="150"/>
      <c r="W31" s="150" t="s">
        <v>19</v>
      </c>
      <c r="X31" s="151">
        <f>T21</f>
        <v>-494697.48571428563</v>
      </c>
      <c r="AA31" s="155"/>
      <c r="AB31" s="155">
        <f>AB29/AB30*7500</f>
        <v>5572.4299065420564</v>
      </c>
    </row>
    <row r="32" spans="2:28" x14ac:dyDescent="0.25">
      <c r="B32" s="34" t="s">
        <v>21</v>
      </c>
      <c r="C32" s="34">
        <f t="shared" ref="C32:N32" si="13">C30*0.4</f>
        <v>10250</v>
      </c>
      <c r="D32" s="34">
        <f t="shared" si="13"/>
        <v>10250</v>
      </c>
      <c r="E32" s="34">
        <f t="shared" si="13"/>
        <v>10250</v>
      </c>
      <c r="F32" s="34">
        <f t="shared" si="13"/>
        <v>10250</v>
      </c>
      <c r="G32" s="34">
        <f t="shared" si="13"/>
        <v>10250</v>
      </c>
      <c r="H32" s="34">
        <f t="shared" si="13"/>
        <v>10250</v>
      </c>
      <c r="I32" s="34">
        <f t="shared" si="13"/>
        <v>10250</v>
      </c>
      <c r="J32" s="34">
        <f t="shared" si="13"/>
        <v>10250</v>
      </c>
      <c r="K32" s="34">
        <f t="shared" si="13"/>
        <v>10250</v>
      </c>
      <c r="L32" s="34">
        <f t="shared" si="13"/>
        <v>10250</v>
      </c>
      <c r="M32" s="34">
        <f t="shared" si="13"/>
        <v>10250</v>
      </c>
      <c r="N32" s="34">
        <f t="shared" si="13"/>
        <v>10250</v>
      </c>
      <c r="O32" s="60" t="s">
        <v>98</v>
      </c>
      <c r="P32" s="61">
        <f>SUM(C32:N32)</f>
        <v>123000</v>
      </c>
      <c r="S32" s="152"/>
      <c r="T32" s="153"/>
      <c r="V32" s="153"/>
      <c r="W32" s="151"/>
      <c r="X32" s="149"/>
    </row>
    <row r="33" spans="2:24" x14ac:dyDescent="0.25">
      <c r="B33" s="59" t="s">
        <v>99</v>
      </c>
      <c r="C33" s="59">
        <v>16000</v>
      </c>
      <c r="D33" s="59">
        <f t="shared" ref="D33:N33" si="14">C32</f>
        <v>10250</v>
      </c>
      <c r="E33" s="59">
        <f t="shared" si="14"/>
        <v>10250</v>
      </c>
      <c r="F33" s="59">
        <f t="shared" si="14"/>
        <v>10250</v>
      </c>
      <c r="G33" s="59">
        <f t="shared" si="14"/>
        <v>10250</v>
      </c>
      <c r="H33" s="59">
        <f t="shared" si="14"/>
        <v>10250</v>
      </c>
      <c r="I33" s="59">
        <f t="shared" si="14"/>
        <v>10250</v>
      </c>
      <c r="J33" s="59">
        <f t="shared" si="14"/>
        <v>10250</v>
      </c>
      <c r="K33" s="59">
        <f t="shared" si="14"/>
        <v>10250</v>
      </c>
      <c r="L33" s="59">
        <f t="shared" si="14"/>
        <v>10250</v>
      </c>
      <c r="M33" s="59">
        <f t="shared" si="14"/>
        <v>10250</v>
      </c>
      <c r="N33" s="59">
        <f t="shared" si="14"/>
        <v>10250</v>
      </c>
      <c r="O33" s="60" t="s">
        <v>100</v>
      </c>
      <c r="P33" s="61">
        <f>N32</f>
        <v>10250</v>
      </c>
      <c r="S33" s="148" t="s">
        <v>22</v>
      </c>
      <c r="T33" s="148">
        <f>SUM(T34:T36)</f>
        <v>-485067.91999999987</v>
      </c>
      <c r="U33" s="148">
        <f>SUM(U34:U36)</f>
        <v>0</v>
      </c>
      <c r="V33" s="148">
        <f>SUM(V34:V36)</f>
        <v>-485067.91999999987</v>
      </c>
      <c r="W33" s="148" t="s">
        <v>23</v>
      </c>
      <c r="X33" s="149">
        <f>SUM(X34:X37)</f>
        <v>99565.28</v>
      </c>
    </row>
    <row r="34" spans="2:24" ht="30" x14ac:dyDescent="0.25">
      <c r="S34" s="150" t="s">
        <v>25</v>
      </c>
      <c r="T34" s="150">
        <v>15000</v>
      </c>
      <c r="U34" s="150"/>
      <c r="V34" s="150">
        <f>T34-U34</f>
        <v>15000</v>
      </c>
      <c r="W34" s="150" t="s">
        <v>26</v>
      </c>
      <c r="X34" s="151">
        <f>Emprunt!G9</f>
        <v>90000</v>
      </c>
    </row>
    <row r="35" spans="2:24" ht="30" x14ac:dyDescent="0.25">
      <c r="S35" s="150" t="s">
        <v>28</v>
      </c>
      <c r="T35" s="150">
        <f>P8</f>
        <v>6302.4</v>
      </c>
      <c r="U35" s="150"/>
      <c r="V35" s="150">
        <f>T35-U35</f>
        <v>6302.4</v>
      </c>
      <c r="W35" s="150" t="s">
        <v>29</v>
      </c>
      <c r="X35" s="151">
        <f>P64+P33</f>
        <v>9565.2800000000007</v>
      </c>
    </row>
    <row r="36" spans="2:24" ht="30" x14ac:dyDescent="0.25">
      <c r="B36" s="219" t="s">
        <v>101</v>
      </c>
      <c r="C36" s="219"/>
      <c r="D36" s="219"/>
      <c r="E36" s="219"/>
      <c r="F36" s="219"/>
      <c r="G36" s="219"/>
      <c r="H36" s="219"/>
      <c r="I36" s="219"/>
      <c r="J36" s="219"/>
      <c r="K36" s="219"/>
      <c r="L36" s="219"/>
      <c r="M36" s="219"/>
      <c r="N36" s="219"/>
      <c r="O36" s="219"/>
      <c r="P36" s="219"/>
      <c r="S36" s="150" t="s">
        <v>34</v>
      </c>
      <c r="T36" s="150">
        <f>N85</f>
        <v>-506370.31999999989</v>
      </c>
      <c r="U36" s="150"/>
      <c r="V36" s="150">
        <f>T36-U36</f>
        <v>-506370.31999999989</v>
      </c>
      <c r="W36" s="150" t="s">
        <v>32</v>
      </c>
      <c r="X36" s="151">
        <f>'Budget Prev 3 années SANS PRECO'!AC85+'Budget Prev 3 années SANS PRECO'!AC54</f>
        <v>0</v>
      </c>
    </row>
    <row r="37" spans="2:24" x14ac:dyDescent="0.25">
      <c r="B37" s="213"/>
      <c r="C37" s="215" t="s">
        <v>50</v>
      </c>
      <c r="D37" s="215" t="s">
        <v>51</v>
      </c>
      <c r="E37" s="215" t="s">
        <v>52</v>
      </c>
      <c r="F37" s="215" t="s">
        <v>53</v>
      </c>
      <c r="G37" s="215" t="s">
        <v>54</v>
      </c>
      <c r="H37" s="215" t="s">
        <v>55</v>
      </c>
      <c r="I37" s="215" t="s">
        <v>56</v>
      </c>
      <c r="J37" s="215" t="s">
        <v>57</v>
      </c>
      <c r="K37" s="215" t="s">
        <v>58</v>
      </c>
      <c r="L37" s="215" t="s">
        <v>59</v>
      </c>
      <c r="M37" s="215" t="s">
        <v>60</v>
      </c>
      <c r="N37" s="215" t="s">
        <v>61</v>
      </c>
      <c r="O37" s="220" t="s">
        <v>62</v>
      </c>
      <c r="P37" s="221"/>
      <c r="S37" s="150"/>
      <c r="T37" s="150"/>
      <c r="U37" s="150"/>
      <c r="V37" s="150"/>
      <c r="W37" s="150"/>
      <c r="X37" s="151"/>
    </row>
    <row r="38" spans="2:24" x14ac:dyDescent="0.25">
      <c r="B38" s="214"/>
      <c r="C38" s="216"/>
      <c r="D38" s="216"/>
      <c r="E38" s="216"/>
      <c r="F38" s="216"/>
      <c r="G38" s="216"/>
      <c r="H38" s="216"/>
      <c r="I38" s="216"/>
      <c r="J38" s="216"/>
      <c r="K38" s="216"/>
      <c r="L38" s="216"/>
      <c r="M38" s="216"/>
      <c r="N38" s="216"/>
      <c r="O38" s="58" t="s">
        <v>64</v>
      </c>
      <c r="P38" s="58" t="s">
        <v>65</v>
      </c>
      <c r="S38" s="156" t="s">
        <v>38</v>
      </c>
      <c r="T38" s="156">
        <f>T27+T33</f>
        <v>-248567.91999999987</v>
      </c>
      <c r="U38" s="156">
        <f>U27</f>
        <v>49814.285714285717</v>
      </c>
      <c r="V38" s="156">
        <f>T38-U38</f>
        <v>-298382.20571428561</v>
      </c>
      <c r="W38" s="156" t="s">
        <v>39</v>
      </c>
      <c r="X38" s="157">
        <f>X27+X33</f>
        <v>-317404.20571428561</v>
      </c>
    </row>
    <row r="39" spans="2:24" x14ac:dyDescent="0.25">
      <c r="B39" s="46" t="s">
        <v>102</v>
      </c>
      <c r="C39" s="35"/>
      <c r="D39" s="35"/>
      <c r="E39" s="35"/>
      <c r="F39" s="35"/>
      <c r="G39" s="35"/>
      <c r="H39" s="35"/>
      <c r="I39" s="35"/>
      <c r="J39" s="35"/>
      <c r="K39" s="35"/>
      <c r="L39" s="35">
        <v>8200</v>
      </c>
      <c r="M39" s="35"/>
      <c r="N39" s="35"/>
      <c r="O39" s="60" t="s">
        <v>103</v>
      </c>
      <c r="P39" s="61">
        <f>SUM(C39:N39)</f>
        <v>8200</v>
      </c>
      <c r="W39" s="20" t="s">
        <v>104</v>
      </c>
      <c r="X39" s="159">
        <f>V38-X38</f>
        <v>19022</v>
      </c>
    </row>
    <row r="40" spans="2:24" x14ac:dyDescent="0.25">
      <c r="B40" s="34" t="s">
        <v>105</v>
      </c>
      <c r="C40" s="34"/>
      <c r="D40" s="34"/>
      <c r="E40" s="34"/>
      <c r="F40" s="34"/>
      <c r="G40" s="34"/>
      <c r="H40" s="34"/>
      <c r="I40" s="34"/>
      <c r="J40" s="34"/>
      <c r="K40" s="34"/>
      <c r="L40" s="35">
        <v>8200</v>
      </c>
      <c r="M40" s="34"/>
      <c r="N40" s="34"/>
      <c r="O40" s="34"/>
      <c r="P40" s="34"/>
    </row>
    <row r="41" spans="2:24" x14ac:dyDescent="0.25">
      <c r="B41" s="34" t="s">
        <v>106</v>
      </c>
      <c r="C41" s="34">
        <f t="shared" ref="C41:N41" si="15">$P$41/12</f>
        <v>350</v>
      </c>
      <c r="D41" s="34">
        <f t="shared" si="15"/>
        <v>350</v>
      </c>
      <c r="E41" s="34">
        <f t="shared" si="15"/>
        <v>350</v>
      </c>
      <c r="F41" s="34">
        <f t="shared" si="15"/>
        <v>350</v>
      </c>
      <c r="G41" s="34">
        <f t="shared" si="15"/>
        <v>350</v>
      </c>
      <c r="H41" s="34">
        <f t="shared" si="15"/>
        <v>350</v>
      </c>
      <c r="I41" s="34">
        <f t="shared" si="15"/>
        <v>350</v>
      </c>
      <c r="J41" s="34">
        <f t="shared" si="15"/>
        <v>350</v>
      </c>
      <c r="K41" s="34">
        <f t="shared" si="15"/>
        <v>350</v>
      </c>
      <c r="L41" s="34">
        <f t="shared" si="15"/>
        <v>350</v>
      </c>
      <c r="M41" s="34">
        <f t="shared" si="15"/>
        <v>350</v>
      </c>
      <c r="N41" s="34">
        <f t="shared" si="15"/>
        <v>350</v>
      </c>
      <c r="O41" s="60" t="s">
        <v>107</v>
      </c>
      <c r="P41" s="61">
        <f>Emprunt!D9</f>
        <v>4200</v>
      </c>
    </row>
    <row r="42" spans="2:24" x14ac:dyDescent="0.25">
      <c r="B42" s="34" t="s">
        <v>108</v>
      </c>
      <c r="C42" s="34">
        <f t="shared" ref="C42:N42" si="16">$P$42/12</f>
        <v>2500</v>
      </c>
      <c r="D42" s="34">
        <f t="shared" si="16"/>
        <v>2500</v>
      </c>
      <c r="E42" s="34">
        <f t="shared" si="16"/>
        <v>2500</v>
      </c>
      <c r="F42" s="34">
        <f t="shared" si="16"/>
        <v>2500</v>
      </c>
      <c r="G42" s="34">
        <f t="shared" si="16"/>
        <v>2500</v>
      </c>
      <c r="H42" s="34">
        <f t="shared" si="16"/>
        <v>2500</v>
      </c>
      <c r="I42" s="34">
        <f t="shared" si="16"/>
        <v>2500</v>
      </c>
      <c r="J42" s="34">
        <f t="shared" si="16"/>
        <v>2500</v>
      </c>
      <c r="K42" s="34">
        <f t="shared" si="16"/>
        <v>2500</v>
      </c>
      <c r="L42" s="34">
        <f t="shared" si="16"/>
        <v>2500</v>
      </c>
      <c r="M42" s="34">
        <f t="shared" si="16"/>
        <v>2500</v>
      </c>
      <c r="N42" s="34">
        <f t="shared" si="16"/>
        <v>2500</v>
      </c>
      <c r="O42" s="60" t="s">
        <v>109</v>
      </c>
      <c r="P42" s="61">
        <f>Emprunt!E9</f>
        <v>30000</v>
      </c>
    </row>
    <row r="43" spans="2:24" x14ac:dyDescent="0.25">
      <c r="B43" s="59" t="s">
        <v>71</v>
      </c>
      <c r="C43" s="59">
        <f>C41+C42</f>
        <v>2850</v>
      </c>
      <c r="D43" s="59">
        <f t="shared" ref="D43:N43" si="17">D41+D42</f>
        <v>2850</v>
      </c>
      <c r="E43" s="59">
        <f t="shared" si="17"/>
        <v>2850</v>
      </c>
      <c r="F43" s="59">
        <f t="shared" si="17"/>
        <v>2850</v>
      </c>
      <c r="G43" s="59">
        <f t="shared" si="17"/>
        <v>2850</v>
      </c>
      <c r="H43" s="59">
        <f t="shared" si="17"/>
        <v>2850</v>
      </c>
      <c r="I43" s="59">
        <f t="shared" si="17"/>
        <v>2850</v>
      </c>
      <c r="J43" s="59">
        <f t="shared" si="17"/>
        <v>2850</v>
      </c>
      <c r="K43" s="59">
        <f t="shared" si="17"/>
        <v>2850</v>
      </c>
      <c r="L43" s="59">
        <f t="shared" si="17"/>
        <v>2850</v>
      </c>
      <c r="M43" s="59">
        <f t="shared" si="17"/>
        <v>2850</v>
      </c>
      <c r="N43" s="59">
        <f t="shared" si="17"/>
        <v>2850</v>
      </c>
      <c r="O43" s="38"/>
      <c r="P43" s="38"/>
    </row>
    <row r="46" spans="2:24" x14ac:dyDescent="0.25">
      <c r="B46" s="177" t="s">
        <v>110</v>
      </c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</row>
    <row r="47" spans="2:24" x14ac:dyDescent="0.25">
      <c r="B47" s="213"/>
      <c r="C47" s="215" t="s">
        <v>50</v>
      </c>
      <c r="D47" s="215" t="s">
        <v>51</v>
      </c>
      <c r="E47" s="215" t="s">
        <v>52</v>
      </c>
      <c r="F47" s="215" t="s">
        <v>53</v>
      </c>
      <c r="G47" s="215" t="s">
        <v>54</v>
      </c>
      <c r="H47" s="215" t="s">
        <v>55</v>
      </c>
      <c r="I47" s="215" t="s">
        <v>56</v>
      </c>
      <c r="J47" s="215" t="s">
        <v>57</v>
      </c>
      <c r="K47" s="215" t="s">
        <v>58</v>
      </c>
      <c r="L47" s="215" t="s">
        <v>59</v>
      </c>
      <c r="M47" s="215" t="s">
        <v>60</v>
      </c>
      <c r="N47" s="215" t="s">
        <v>61</v>
      </c>
      <c r="O47" s="220" t="s">
        <v>62</v>
      </c>
      <c r="P47" s="221"/>
    </row>
    <row r="48" spans="2:24" x14ac:dyDescent="0.25">
      <c r="B48" s="214"/>
      <c r="C48" s="216"/>
      <c r="D48" s="216"/>
      <c r="E48" s="216"/>
      <c r="F48" s="216"/>
      <c r="G48" s="216"/>
      <c r="H48" s="216"/>
      <c r="I48" s="216"/>
      <c r="J48" s="216"/>
      <c r="K48" s="216"/>
      <c r="L48" s="216"/>
      <c r="M48" s="216"/>
      <c r="N48" s="216"/>
      <c r="O48" s="58" t="s">
        <v>64</v>
      </c>
      <c r="P48" s="58" t="s">
        <v>65</v>
      </c>
    </row>
    <row r="49" spans="2:16" x14ac:dyDescent="0.25">
      <c r="B49" s="35" t="s">
        <v>111</v>
      </c>
      <c r="C49" s="35">
        <f>Emprunt!J4</f>
        <v>22500</v>
      </c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60" t="s">
        <v>112</v>
      </c>
      <c r="P49" s="61">
        <f>SUM(C49:N49)</f>
        <v>22500</v>
      </c>
    </row>
    <row r="50" spans="2:16" x14ac:dyDescent="0.25">
      <c r="B50" s="34" t="s">
        <v>113</v>
      </c>
      <c r="C50" s="34">
        <f>C49*20%</f>
        <v>4500</v>
      </c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</row>
    <row r="51" spans="2:16" x14ac:dyDescent="0.25">
      <c r="B51" s="34" t="s">
        <v>114</v>
      </c>
      <c r="C51" s="34">
        <f>C49+C50</f>
        <v>27000</v>
      </c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</row>
    <row r="52" spans="2:16" x14ac:dyDescent="0.25">
      <c r="B52" s="59" t="s">
        <v>81</v>
      </c>
      <c r="C52" s="59">
        <f>C51</f>
        <v>27000</v>
      </c>
      <c r="D52" s="59"/>
      <c r="E52" s="59"/>
      <c r="F52" s="59"/>
      <c r="G52" s="59"/>
      <c r="H52" s="59"/>
      <c r="I52" s="59"/>
      <c r="J52" s="59"/>
      <c r="K52" s="59"/>
      <c r="L52" s="59"/>
      <c r="M52" s="59"/>
      <c r="N52" s="59"/>
      <c r="O52" s="60" t="s">
        <v>115</v>
      </c>
      <c r="P52" s="61">
        <v>0</v>
      </c>
    </row>
    <row r="55" spans="2:16" x14ac:dyDescent="0.25">
      <c r="B55" s="177" t="s">
        <v>116</v>
      </c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</row>
    <row r="56" spans="2:16" x14ac:dyDescent="0.25">
      <c r="B56" s="213"/>
      <c r="C56" s="215" t="s">
        <v>50</v>
      </c>
      <c r="D56" s="215" t="s">
        <v>51</v>
      </c>
      <c r="E56" s="215" t="s">
        <v>52</v>
      </c>
      <c r="F56" s="215" t="s">
        <v>53</v>
      </c>
      <c r="G56" s="215" t="s">
        <v>54</v>
      </c>
      <c r="H56" s="215" t="s">
        <v>55</v>
      </c>
      <c r="I56" s="215" t="s">
        <v>56</v>
      </c>
      <c r="J56" s="215" t="s">
        <v>57</v>
      </c>
      <c r="K56" s="215" t="s">
        <v>58</v>
      </c>
      <c r="L56" s="215" t="s">
        <v>59</v>
      </c>
      <c r="M56" s="215" t="s">
        <v>60</v>
      </c>
      <c r="N56" s="215" t="s">
        <v>61</v>
      </c>
      <c r="O56" s="220" t="s">
        <v>62</v>
      </c>
      <c r="P56" s="221"/>
    </row>
    <row r="57" spans="2:16" x14ac:dyDescent="0.25">
      <c r="B57" s="214"/>
      <c r="C57" s="216"/>
      <c r="D57" s="216"/>
      <c r="E57" s="216"/>
      <c r="F57" s="216"/>
      <c r="G57" s="216"/>
      <c r="H57" s="216"/>
      <c r="I57" s="216"/>
      <c r="J57" s="216"/>
      <c r="K57" s="216"/>
      <c r="L57" s="216"/>
      <c r="M57" s="216"/>
      <c r="N57" s="216"/>
      <c r="O57" s="58" t="s">
        <v>64</v>
      </c>
      <c r="P57" s="58" t="s">
        <v>65</v>
      </c>
    </row>
    <row r="58" spans="2:16" x14ac:dyDescent="0.25">
      <c r="B58" s="59" t="s">
        <v>68</v>
      </c>
      <c r="C58" s="59">
        <f t="shared" ref="C58:N58" si="18">C6</f>
        <v>1050.4000000000001</v>
      </c>
      <c r="D58" s="59">
        <f t="shared" si="18"/>
        <v>1050.4000000000001</v>
      </c>
      <c r="E58" s="59">
        <f t="shared" si="18"/>
        <v>1050.4000000000001</v>
      </c>
      <c r="F58" s="59">
        <f t="shared" si="18"/>
        <v>1050.4000000000001</v>
      </c>
      <c r="G58" s="59">
        <f t="shared" si="18"/>
        <v>1050.4000000000001</v>
      </c>
      <c r="H58" s="59">
        <f t="shared" si="18"/>
        <v>1050.4000000000001</v>
      </c>
      <c r="I58" s="59">
        <f t="shared" si="18"/>
        <v>1050.4000000000001</v>
      </c>
      <c r="J58" s="59">
        <f t="shared" si="18"/>
        <v>1050.4000000000001</v>
      </c>
      <c r="K58" s="59">
        <f t="shared" si="18"/>
        <v>1050.4000000000001</v>
      </c>
      <c r="L58" s="59">
        <f t="shared" si="18"/>
        <v>1050.4000000000001</v>
      </c>
      <c r="M58" s="59">
        <f t="shared" si="18"/>
        <v>1050.4000000000001</v>
      </c>
      <c r="N58" s="59">
        <f t="shared" si="18"/>
        <v>1050.4000000000001</v>
      </c>
      <c r="O58" s="34"/>
      <c r="P58" s="34"/>
    </row>
    <row r="59" spans="2:16" x14ac:dyDescent="0.25">
      <c r="B59" s="34" t="s">
        <v>79</v>
      </c>
      <c r="C59" s="34">
        <f t="shared" ref="C59:N59" si="19">C15</f>
        <v>315.12</v>
      </c>
      <c r="D59" s="34">
        <f t="shared" si="19"/>
        <v>315.12</v>
      </c>
      <c r="E59" s="34">
        <f t="shared" si="19"/>
        <v>315.12</v>
      </c>
      <c r="F59" s="34">
        <f t="shared" si="19"/>
        <v>315.12</v>
      </c>
      <c r="G59" s="34">
        <f t="shared" si="19"/>
        <v>315.12</v>
      </c>
      <c r="H59" s="34">
        <f t="shared" si="19"/>
        <v>315.12</v>
      </c>
      <c r="I59" s="34">
        <f t="shared" si="19"/>
        <v>315.12</v>
      </c>
      <c r="J59" s="34">
        <f t="shared" si="19"/>
        <v>315.12</v>
      </c>
      <c r="K59" s="34">
        <f t="shared" si="19"/>
        <v>315.12</v>
      </c>
      <c r="L59" s="34">
        <f t="shared" si="19"/>
        <v>315.12</v>
      </c>
      <c r="M59" s="34">
        <f t="shared" si="19"/>
        <v>315.12</v>
      </c>
      <c r="N59" s="34">
        <f t="shared" si="19"/>
        <v>315.12</v>
      </c>
      <c r="O59" s="34"/>
      <c r="P59" s="34"/>
    </row>
    <row r="60" spans="2:16" x14ac:dyDescent="0.25">
      <c r="B60" s="34" t="s">
        <v>86</v>
      </c>
      <c r="C60" s="34">
        <f t="shared" ref="C60:N60" si="20">C24</f>
        <v>1420</v>
      </c>
      <c r="D60" s="34">
        <f t="shared" si="20"/>
        <v>1420</v>
      </c>
      <c r="E60" s="34">
        <f t="shared" si="20"/>
        <v>1420</v>
      </c>
      <c r="F60" s="34">
        <f t="shared" si="20"/>
        <v>1420</v>
      </c>
      <c r="G60" s="34">
        <f t="shared" si="20"/>
        <v>1420</v>
      </c>
      <c r="H60" s="34">
        <f t="shared" si="20"/>
        <v>1420</v>
      </c>
      <c r="I60" s="34">
        <f t="shared" si="20"/>
        <v>1420</v>
      </c>
      <c r="J60" s="34">
        <f t="shared" si="20"/>
        <v>1420</v>
      </c>
      <c r="K60" s="34">
        <f t="shared" si="20"/>
        <v>1420</v>
      </c>
      <c r="L60" s="34">
        <f t="shared" si="20"/>
        <v>1420</v>
      </c>
      <c r="M60" s="34">
        <f t="shared" si="20"/>
        <v>1420</v>
      </c>
      <c r="N60" s="34">
        <f t="shared" si="20"/>
        <v>1420</v>
      </c>
      <c r="O60" s="34"/>
      <c r="P60" s="34"/>
    </row>
    <row r="61" spans="2:16" x14ac:dyDescent="0.25">
      <c r="B61" s="59" t="s">
        <v>113</v>
      </c>
      <c r="C61" s="59">
        <f>C50</f>
        <v>4500</v>
      </c>
      <c r="D61" s="59">
        <f t="shared" ref="D61:N61" si="21">D50</f>
        <v>0</v>
      </c>
      <c r="E61" s="59">
        <f t="shared" si="21"/>
        <v>0</v>
      </c>
      <c r="F61" s="59">
        <f t="shared" si="21"/>
        <v>0</v>
      </c>
      <c r="G61" s="59">
        <f t="shared" si="21"/>
        <v>0</v>
      </c>
      <c r="H61" s="59">
        <f t="shared" si="21"/>
        <v>0</v>
      </c>
      <c r="I61" s="59">
        <f t="shared" si="21"/>
        <v>0</v>
      </c>
      <c r="J61" s="59">
        <f t="shared" si="21"/>
        <v>0</v>
      </c>
      <c r="K61" s="59">
        <f t="shared" si="21"/>
        <v>0</v>
      </c>
      <c r="L61" s="59">
        <f t="shared" si="21"/>
        <v>0</v>
      </c>
      <c r="M61" s="59">
        <f t="shared" si="21"/>
        <v>0</v>
      </c>
      <c r="N61" s="59">
        <f t="shared" si="21"/>
        <v>0</v>
      </c>
      <c r="O61" s="34"/>
      <c r="P61" s="34"/>
    </row>
    <row r="62" spans="2:16" x14ac:dyDescent="0.25">
      <c r="B62" s="44" t="s">
        <v>117</v>
      </c>
      <c r="C62" s="42">
        <f>C59+C60+C61</f>
        <v>6235.12</v>
      </c>
      <c r="D62" s="42">
        <f t="shared" ref="D62:N62" si="22">D59+D60+D61</f>
        <v>1735.12</v>
      </c>
      <c r="E62" s="42">
        <f t="shared" si="22"/>
        <v>1735.12</v>
      </c>
      <c r="F62" s="42">
        <f t="shared" si="22"/>
        <v>1735.12</v>
      </c>
      <c r="G62" s="42">
        <f t="shared" si="22"/>
        <v>1735.12</v>
      </c>
      <c r="H62" s="42">
        <f t="shared" si="22"/>
        <v>1735.12</v>
      </c>
      <c r="I62" s="42">
        <f t="shared" si="22"/>
        <v>1735.12</v>
      </c>
      <c r="J62" s="42">
        <f t="shared" si="22"/>
        <v>1735.12</v>
      </c>
      <c r="K62" s="42">
        <f t="shared" si="22"/>
        <v>1735.12</v>
      </c>
      <c r="L62" s="42">
        <f t="shared" si="22"/>
        <v>1735.12</v>
      </c>
      <c r="M62" s="42">
        <f t="shared" si="22"/>
        <v>1735.12</v>
      </c>
      <c r="N62" s="42">
        <f t="shared" si="22"/>
        <v>1735.12</v>
      </c>
      <c r="O62" s="34"/>
      <c r="P62" s="34"/>
    </row>
    <row r="63" spans="2:16" x14ac:dyDescent="0.25">
      <c r="B63" s="45" t="s">
        <v>118</v>
      </c>
      <c r="C63" s="43">
        <f>C58-C62</f>
        <v>-5184.7199999999993</v>
      </c>
      <c r="D63" s="43">
        <f t="shared" ref="D63:N63" si="23">D58-D62</f>
        <v>-684.7199999999998</v>
      </c>
      <c r="E63" s="43">
        <f t="shared" si="23"/>
        <v>-684.7199999999998</v>
      </c>
      <c r="F63" s="43">
        <f t="shared" si="23"/>
        <v>-684.7199999999998</v>
      </c>
      <c r="G63" s="43">
        <f t="shared" si="23"/>
        <v>-684.7199999999998</v>
      </c>
      <c r="H63" s="43">
        <f t="shared" si="23"/>
        <v>-684.7199999999998</v>
      </c>
      <c r="I63" s="43">
        <f t="shared" si="23"/>
        <v>-684.7199999999998</v>
      </c>
      <c r="J63" s="43">
        <f t="shared" si="23"/>
        <v>-684.7199999999998</v>
      </c>
      <c r="K63" s="43">
        <f t="shared" si="23"/>
        <v>-684.7199999999998</v>
      </c>
      <c r="L63" s="43">
        <f t="shared" si="23"/>
        <v>-684.7199999999998</v>
      </c>
      <c r="M63" s="43">
        <f t="shared" si="23"/>
        <v>-684.7199999999998</v>
      </c>
      <c r="N63" s="43">
        <f t="shared" si="23"/>
        <v>-684.7199999999998</v>
      </c>
      <c r="O63" s="34"/>
      <c r="P63" s="34"/>
    </row>
    <row r="64" spans="2:16" x14ac:dyDescent="0.25">
      <c r="B64" s="59" t="s">
        <v>81</v>
      </c>
      <c r="C64" s="59">
        <v>15000</v>
      </c>
      <c r="D64" s="59">
        <f>C63</f>
        <v>-5184.7199999999993</v>
      </c>
      <c r="E64" s="59">
        <f t="shared" ref="E64:N64" si="24">D63</f>
        <v>-684.7199999999998</v>
      </c>
      <c r="F64" s="59">
        <f t="shared" si="24"/>
        <v>-684.7199999999998</v>
      </c>
      <c r="G64" s="59">
        <f t="shared" si="24"/>
        <v>-684.7199999999998</v>
      </c>
      <c r="H64" s="59">
        <f t="shared" si="24"/>
        <v>-684.7199999999998</v>
      </c>
      <c r="I64" s="59">
        <f t="shared" si="24"/>
        <v>-684.7199999999998</v>
      </c>
      <c r="J64" s="59">
        <f t="shared" si="24"/>
        <v>-684.7199999999998</v>
      </c>
      <c r="K64" s="59">
        <f t="shared" si="24"/>
        <v>-684.7199999999998</v>
      </c>
      <c r="L64" s="59">
        <f t="shared" si="24"/>
        <v>-684.7199999999998</v>
      </c>
      <c r="M64" s="59">
        <f t="shared" si="24"/>
        <v>-684.7199999999998</v>
      </c>
      <c r="N64" s="59">
        <f t="shared" si="24"/>
        <v>-684.7199999999998</v>
      </c>
      <c r="O64" s="60" t="s">
        <v>119</v>
      </c>
      <c r="P64" s="61">
        <f>N63</f>
        <v>-684.7199999999998</v>
      </c>
    </row>
    <row r="67" spans="2:16" x14ac:dyDescent="0.25">
      <c r="B67" s="177" t="s">
        <v>120</v>
      </c>
      <c r="C67" s="36"/>
      <c r="D67" s="36"/>
      <c r="E67" s="36"/>
      <c r="F67" s="36"/>
      <c r="G67" s="36"/>
      <c r="H67" s="36"/>
      <c r="I67" s="36"/>
      <c r="J67" s="36"/>
      <c r="K67" s="36"/>
      <c r="L67" s="36"/>
      <c r="M67" s="36"/>
      <c r="N67" s="36"/>
      <c r="O67" s="36"/>
      <c r="P67" s="36"/>
    </row>
    <row r="68" spans="2:16" x14ac:dyDescent="0.25">
      <c r="B68" s="213"/>
      <c r="C68" s="215" t="s">
        <v>50</v>
      </c>
      <c r="D68" s="215" t="s">
        <v>51</v>
      </c>
      <c r="E68" s="215" t="s">
        <v>52</v>
      </c>
      <c r="F68" s="215" t="s">
        <v>53</v>
      </c>
      <c r="G68" s="215" t="s">
        <v>54</v>
      </c>
      <c r="H68" s="215" t="s">
        <v>55</v>
      </c>
      <c r="I68" s="215" t="s">
        <v>56</v>
      </c>
      <c r="J68" s="215" t="s">
        <v>57</v>
      </c>
      <c r="K68" s="215" t="s">
        <v>58</v>
      </c>
      <c r="L68" s="215" t="s">
        <v>59</v>
      </c>
      <c r="M68" s="215" t="s">
        <v>60</v>
      </c>
      <c r="N68" s="215" t="s">
        <v>61</v>
      </c>
      <c r="O68" s="220" t="s">
        <v>62</v>
      </c>
      <c r="P68" s="221"/>
    </row>
    <row r="69" spans="2:16" x14ac:dyDescent="0.25">
      <c r="B69" s="214"/>
      <c r="C69" s="216"/>
      <c r="D69" s="216"/>
      <c r="E69" s="216"/>
      <c r="F69" s="216"/>
      <c r="G69" s="216"/>
      <c r="H69" s="216"/>
      <c r="I69" s="216"/>
      <c r="J69" s="216"/>
      <c r="K69" s="216"/>
      <c r="L69" s="216"/>
      <c r="M69" s="216"/>
      <c r="N69" s="216"/>
      <c r="O69" s="58" t="s">
        <v>64</v>
      </c>
      <c r="P69" s="58" t="s">
        <v>65</v>
      </c>
    </row>
    <row r="70" spans="2:16" x14ac:dyDescent="0.25">
      <c r="B70" s="35" t="s">
        <v>121</v>
      </c>
      <c r="C70" s="35">
        <f t="shared" ref="C70:N70" si="25">C8</f>
        <v>78000</v>
      </c>
      <c r="D70" s="35">
        <f t="shared" si="25"/>
        <v>6302.4</v>
      </c>
      <c r="E70" s="35">
        <f t="shared" si="25"/>
        <v>6302.4</v>
      </c>
      <c r="F70" s="35">
        <f t="shared" si="25"/>
        <v>6302.4</v>
      </c>
      <c r="G70" s="35">
        <f t="shared" si="25"/>
        <v>6302.4</v>
      </c>
      <c r="H70" s="35">
        <f t="shared" si="25"/>
        <v>6302.4</v>
      </c>
      <c r="I70" s="35">
        <f t="shared" si="25"/>
        <v>6302.4</v>
      </c>
      <c r="J70" s="43">
        <f t="shared" si="25"/>
        <v>6302.4</v>
      </c>
      <c r="K70" s="35">
        <f t="shared" si="25"/>
        <v>6302.4</v>
      </c>
      <c r="L70" s="35">
        <f t="shared" si="25"/>
        <v>6302.4</v>
      </c>
      <c r="M70" s="35">
        <f t="shared" si="25"/>
        <v>6302.4</v>
      </c>
      <c r="N70" s="35">
        <f t="shared" si="25"/>
        <v>6302.4</v>
      </c>
      <c r="O70" s="34"/>
      <c r="P70" s="34"/>
    </row>
    <row r="71" spans="2:16" x14ac:dyDescent="0.25">
      <c r="B71" s="34" t="s">
        <v>122</v>
      </c>
      <c r="C71" s="34"/>
      <c r="D71" s="34"/>
      <c r="E71" s="34"/>
      <c r="F71" s="34"/>
      <c r="G71" s="34"/>
      <c r="H71" s="34">
        <v>1500</v>
      </c>
      <c r="I71" s="34"/>
      <c r="J71" s="34"/>
      <c r="K71" s="34"/>
      <c r="L71" s="34"/>
      <c r="M71" s="34"/>
      <c r="N71" s="34"/>
      <c r="O71" s="34"/>
      <c r="P71" s="34"/>
    </row>
    <row r="72" spans="2:16" x14ac:dyDescent="0.25">
      <c r="B72" s="59" t="s">
        <v>123</v>
      </c>
      <c r="C72" s="59">
        <f>C71+C70</f>
        <v>78000</v>
      </c>
      <c r="D72" s="59">
        <f t="shared" ref="D72:N72" si="26">D71+D70</f>
        <v>6302.4</v>
      </c>
      <c r="E72" s="59">
        <f t="shared" si="26"/>
        <v>6302.4</v>
      </c>
      <c r="F72" s="59">
        <f t="shared" si="26"/>
        <v>6302.4</v>
      </c>
      <c r="G72" s="59">
        <f t="shared" si="26"/>
        <v>6302.4</v>
      </c>
      <c r="H72" s="59">
        <f t="shared" si="26"/>
        <v>7802.4</v>
      </c>
      <c r="I72" s="59">
        <f t="shared" si="26"/>
        <v>6302.4</v>
      </c>
      <c r="J72" s="59">
        <f t="shared" si="26"/>
        <v>6302.4</v>
      </c>
      <c r="K72" s="59">
        <f t="shared" si="26"/>
        <v>6302.4</v>
      </c>
      <c r="L72" s="59">
        <f t="shared" si="26"/>
        <v>6302.4</v>
      </c>
      <c r="M72" s="59">
        <f t="shared" si="26"/>
        <v>6302.4</v>
      </c>
      <c r="N72" s="59">
        <f t="shared" si="26"/>
        <v>6302.4</v>
      </c>
      <c r="O72" s="34"/>
      <c r="P72" s="34"/>
    </row>
    <row r="73" spans="2:16" x14ac:dyDescent="0.25">
      <c r="B73" s="39" t="s">
        <v>124</v>
      </c>
      <c r="C73" s="41">
        <f t="shared" ref="C73:N73" si="27">C17</f>
        <v>25390.720000000001</v>
      </c>
      <c r="D73" s="41">
        <f t="shared" si="27"/>
        <v>1890.7199999999998</v>
      </c>
      <c r="E73" s="41">
        <f t="shared" si="27"/>
        <v>1890.7199999999998</v>
      </c>
      <c r="F73" s="41">
        <f t="shared" si="27"/>
        <v>1890.7199999999998</v>
      </c>
      <c r="G73" s="41">
        <f t="shared" si="27"/>
        <v>1890.7199999999998</v>
      </c>
      <c r="H73" s="41">
        <f t="shared" si="27"/>
        <v>1890.7199999999998</v>
      </c>
      <c r="I73" s="41">
        <f t="shared" si="27"/>
        <v>1890.7199999999998</v>
      </c>
      <c r="J73" s="41">
        <f t="shared" si="27"/>
        <v>1890.7199999999998</v>
      </c>
      <c r="K73" s="41">
        <f t="shared" si="27"/>
        <v>1890.7199999999998</v>
      </c>
      <c r="L73" s="41">
        <f t="shared" si="27"/>
        <v>1890.7199999999998</v>
      </c>
      <c r="M73" s="41">
        <f t="shared" si="27"/>
        <v>1890.7199999999998</v>
      </c>
      <c r="N73" s="41">
        <f t="shared" si="27"/>
        <v>1890.7199999999998</v>
      </c>
      <c r="O73" s="34"/>
      <c r="P73" s="34"/>
    </row>
    <row r="74" spans="2:16" x14ac:dyDescent="0.25">
      <c r="B74" s="35" t="s">
        <v>125</v>
      </c>
      <c r="C74" s="35">
        <f>'Bilan et CDR N'!$K$16/12</f>
        <v>375</v>
      </c>
      <c r="D74" s="35">
        <f>'Bilan et CDR N'!$K$16/12</f>
        <v>375</v>
      </c>
      <c r="E74" s="35">
        <f>'Bilan et CDR N'!$K$16/12</f>
        <v>375</v>
      </c>
      <c r="F74" s="35">
        <f>'Bilan et CDR N'!$K$16/12</f>
        <v>375</v>
      </c>
      <c r="G74" s="35">
        <f>'Bilan et CDR N'!$K$16/12</f>
        <v>375</v>
      </c>
      <c r="H74" s="35">
        <f>'Bilan et CDR N'!$K$16/12</f>
        <v>375</v>
      </c>
      <c r="I74" s="35">
        <f>'Bilan et CDR N'!$K$16/12</f>
        <v>375</v>
      </c>
      <c r="J74" s="35">
        <f>'Bilan et CDR N'!$K$16/12</f>
        <v>375</v>
      </c>
      <c r="K74" s="35">
        <f>'Bilan et CDR N'!$K$16/12</f>
        <v>375</v>
      </c>
      <c r="L74" s="35">
        <f>'Bilan et CDR N'!$K$16/12</f>
        <v>375</v>
      </c>
      <c r="M74" s="35">
        <f>'Bilan et CDR N'!$K$16/12</f>
        <v>375</v>
      </c>
      <c r="N74" s="35">
        <f>'Bilan et CDR N'!$K$16/12</f>
        <v>375</v>
      </c>
      <c r="O74" s="34"/>
      <c r="P74" s="34"/>
    </row>
    <row r="75" spans="2:16" x14ac:dyDescent="0.25">
      <c r="B75" s="39" t="s">
        <v>126</v>
      </c>
      <c r="C75" s="41">
        <f t="shared" ref="C75:N75" si="28">C31</f>
        <v>25625</v>
      </c>
      <c r="D75" s="41">
        <f t="shared" si="28"/>
        <v>25625</v>
      </c>
      <c r="E75" s="41">
        <f t="shared" si="28"/>
        <v>25625</v>
      </c>
      <c r="F75" s="41">
        <f t="shared" si="28"/>
        <v>25625</v>
      </c>
      <c r="G75" s="41">
        <f t="shared" si="28"/>
        <v>25625</v>
      </c>
      <c r="H75" s="41">
        <f t="shared" si="28"/>
        <v>25625</v>
      </c>
      <c r="I75" s="41">
        <f t="shared" si="28"/>
        <v>25625</v>
      </c>
      <c r="J75" s="41">
        <f t="shared" si="28"/>
        <v>25625</v>
      </c>
      <c r="K75" s="41">
        <f t="shared" si="28"/>
        <v>25625</v>
      </c>
      <c r="L75" s="41">
        <f t="shared" si="28"/>
        <v>25625</v>
      </c>
      <c r="M75" s="41">
        <f t="shared" si="28"/>
        <v>25625</v>
      </c>
      <c r="N75" s="41">
        <f t="shared" si="28"/>
        <v>25625</v>
      </c>
      <c r="O75" s="34"/>
      <c r="P75" s="34"/>
    </row>
    <row r="76" spans="2:16" x14ac:dyDescent="0.25">
      <c r="B76" s="35" t="s">
        <v>21</v>
      </c>
      <c r="C76" s="35">
        <f t="shared" ref="C76:N76" si="29">C33</f>
        <v>16000</v>
      </c>
      <c r="D76" s="35">
        <f t="shared" si="29"/>
        <v>10250</v>
      </c>
      <c r="E76" s="35">
        <f t="shared" si="29"/>
        <v>10250</v>
      </c>
      <c r="F76" s="35">
        <f t="shared" si="29"/>
        <v>10250</v>
      </c>
      <c r="G76" s="35">
        <f t="shared" si="29"/>
        <v>10250</v>
      </c>
      <c r="H76" s="35">
        <f t="shared" si="29"/>
        <v>10250</v>
      </c>
      <c r="I76" s="35">
        <f t="shared" si="29"/>
        <v>10250</v>
      </c>
      <c r="J76" s="35">
        <f t="shared" si="29"/>
        <v>10250</v>
      </c>
      <c r="K76" s="35">
        <f t="shared" si="29"/>
        <v>10250</v>
      </c>
      <c r="L76" s="35">
        <f t="shared" si="29"/>
        <v>10250</v>
      </c>
      <c r="M76" s="35">
        <f t="shared" si="29"/>
        <v>10250</v>
      </c>
      <c r="N76" s="35">
        <f t="shared" si="29"/>
        <v>10250</v>
      </c>
      <c r="O76" s="34"/>
      <c r="P76" s="34"/>
    </row>
    <row r="77" spans="2:16" x14ac:dyDescent="0.25">
      <c r="B77" s="39" t="s">
        <v>102</v>
      </c>
      <c r="C77" s="41">
        <f t="shared" ref="C77:N77" si="30">C40</f>
        <v>0</v>
      </c>
      <c r="D77" s="41">
        <f t="shared" si="30"/>
        <v>0</v>
      </c>
      <c r="E77" s="41">
        <f t="shared" si="30"/>
        <v>0</v>
      </c>
      <c r="F77" s="41">
        <f t="shared" si="30"/>
        <v>0</v>
      </c>
      <c r="G77" s="41">
        <f t="shared" si="30"/>
        <v>0</v>
      </c>
      <c r="H77" s="41">
        <f t="shared" si="30"/>
        <v>0</v>
      </c>
      <c r="I77" s="41">
        <f t="shared" si="30"/>
        <v>0</v>
      </c>
      <c r="J77" s="41">
        <f t="shared" si="30"/>
        <v>0</v>
      </c>
      <c r="K77" s="41">
        <f t="shared" si="30"/>
        <v>0</v>
      </c>
      <c r="L77" s="41">
        <f t="shared" si="30"/>
        <v>8200</v>
      </c>
      <c r="M77" s="41">
        <f t="shared" si="30"/>
        <v>0</v>
      </c>
      <c r="N77" s="41">
        <f t="shared" si="30"/>
        <v>0</v>
      </c>
      <c r="O77" s="34"/>
      <c r="P77" s="34"/>
    </row>
    <row r="78" spans="2:16" x14ac:dyDescent="0.25">
      <c r="B78" s="35" t="s">
        <v>127</v>
      </c>
      <c r="C78" s="35">
        <f t="shared" ref="C78:N78" si="31">C26</f>
        <v>8520</v>
      </c>
      <c r="D78" s="35">
        <f t="shared" si="31"/>
        <v>8520</v>
      </c>
      <c r="E78" s="35">
        <f t="shared" si="31"/>
        <v>8520</v>
      </c>
      <c r="F78" s="35">
        <f t="shared" si="31"/>
        <v>8520</v>
      </c>
      <c r="G78" s="35">
        <f t="shared" si="31"/>
        <v>8520</v>
      </c>
      <c r="H78" s="35">
        <f t="shared" si="31"/>
        <v>8520</v>
      </c>
      <c r="I78" s="35">
        <f t="shared" si="31"/>
        <v>8520</v>
      </c>
      <c r="J78" s="35">
        <f t="shared" si="31"/>
        <v>8520</v>
      </c>
      <c r="K78" s="35">
        <f t="shared" si="31"/>
        <v>8520</v>
      </c>
      <c r="L78" s="35">
        <f t="shared" si="31"/>
        <v>8520</v>
      </c>
      <c r="M78" s="35">
        <f t="shared" si="31"/>
        <v>8520</v>
      </c>
      <c r="N78" s="35">
        <f t="shared" si="31"/>
        <v>8520</v>
      </c>
      <c r="O78" s="34"/>
      <c r="P78" s="34"/>
    </row>
    <row r="79" spans="2:16" x14ac:dyDescent="0.25">
      <c r="B79" s="39" t="s">
        <v>128</v>
      </c>
      <c r="C79" s="41">
        <f t="shared" ref="C79:N79" si="32">C43</f>
        <v>2850</v>
      </c>
      <c r="D79" s="41">
        <f t="shared" si="32"/>
        <v>2850</v>
      </c>
      <c r="E79" s="41">
        <f t="shared" si="32"/>
        <v>2850</v>
      </c>
      <c r="F79" s="41">
        <f t="shared" si="32"/>
        <v>2850</v>
      </c>
      <c r="G79" s="41">
        <f t="shared" si="32"/>
        <v>2850</v>
      </c>
      <c r="H79" s="41">
        <f t="shared" si="32"/>
        <v>2850</v>
      </c>
      <c r="I79" s="41">
        <f t="shared" si="32"/>
        <v>2850</v>
      </c>
      <c r="J79" s="41">
        <f t="shared" si="32"/>
        <v>2850</v>
      </c>
      <c r="K79" s="41">
        <f t="shared" si="32"/>
        <v>2850</v>
      </c>
      <c r="L79" s="41">
        <f t="shared" si="32"/>
        <v>2850</v>
      </c>
      <c r="M79" s="41">
        <f t="shared" si="32"/>
        <v>2850</v>
      </c>
      <c r="N79" s="41">
        <f t="shared" si="32"/>
        <v>2850</v>
      </c>
      <c r="O79" s="34"/>
      <c r="P79" s="34"/>
    </row>
    <row r="80" spans="2:16" x14ac:dyDescent="0.25">
      <c r="B80" s="35" t="s">
        <v>129</v>
      </c>
      <c r="C80" s="35">
        <f t="shared" ref="C80:N80" si="33">C51</f>
        <v>27000</v>
      </c>
      <c r="D80" s="35">
        <f t="shared" si="33"/>
        <v>0</v>
      </c>
      <c r="E80" s="35">
        <f t="shared" si="33"/>
        <v>0</v>
      </c>
      <c r="F80" s="35">
        <f t="shared" si="33"/>
        <v>0</v>
      </c>
      <c r="G80" s="35">
        <f t="shared" si="33"/>
        <v>0</v>
      </c>
      <c r="H80" s="35">
        <f t="shared" si="33"/>
        <v>0</v>
      </c>
      <c r="I80" s="35">
        <f t="shared" si="33"/>
        <v>0</v>
      </c>
      <c r="J80" s="35">
        <f t="shared" si="33"/>
        <v>0</v>
      </c>
      <c r="K80" s="35">
        <f t="shared" si="33"/>
        <v>0</v>
      </c>
      <c r="L80" s="35">
        <f t="shared" si="33"/>
        <v>0</v>
      </c>
      <c r="M80" s="35">
        <f t="shared" si="33"/>
        <v>0</v>
      </c>
      <c r="N80" s="35">
        <f t="shared" si="33"/>
        <v>0</v>
      </c>
      <c r="O80" s="34"/>
      <c r="P80" s="34"/>
    </row>
    <row r="81" spans="2:20" x14ac:dyDescent="0.25">
      <c r="B81" s="39" t="s">
        <v>130</v>
      </c>
      <c r="C81" s="41">
        <f t="shared" ref="C81:N81" si="34">C64</f>
        <v>15000</v>
      </c>
      <c r="D81" s="41">
        <f t="shared" si="34"/>
        <v>-5184.7199999999993</v>
      </c>
      <c r="E81" s="41">
        <f t="shared" si="34"/>
        <v>-684.7199999999998</v>
      </c>
      <c r="F81" s="41">
        <f t="shared" si="34"/>
        <v>-684.7199999999998</v>
      </c>
      <c r="G81" s="41">
        <f t="shared" si="34"/>
        <v>-684.7199999999998</v>
      </c>
      <c r="H81" s="41">
        <f t="shared" si="34"/>
        <v>-684.7199999999998</v>
      </c>
      <c r="I81" s="41">
        <f t="shared" si="34"/>
        <v>-684.7199999999998</v>
      </c>
      <c r="J81" s="41">
        <f t="shared" si="34"/>
        <v>-684.7199999999998</v>
      </c>
      <c r="K81" s="41">
        <f t="shared" si="34"/>
        <v>-684.7199999999998</v>
      </c>
      <c r="L81" s="41">
        <f t="shared" si="34"/>
        <v>-684.7199999999998</v>
      </c>
      <c r="M81" s="41">
        <f t="shared" si="34"/>
        <v>-684.7199999999998</v>
      </c>
      <c r="N81" s="41">
        <f t="shared" si="34"/>
        <v>-684.7199999999998</v>
      </c>
      <c r="O81" s="34"/>
      <c r="P81" s="34"/>
    </row>
    <row r="82" spans="2:20" x14ac:dyDescent="0.25">
      <c r="B82" s="59" t="s">
        <v>131</v>
      </c>
      <c r="C82" s="59">
        <f>SUM(C73:C81)</f>
        <v>120760.72</v>
      </c>
      <c r="D82" s="59">
        <f t="shared" ref="D82:N82" si="35">SUM(D73:D81)</f>
        <v>44326</v>
      </c>
      <c r="E82" s="59">
        <f t="shared" si="35"/>
        <v>48826</v>
      </c>
      <c r="F82" s="59">
        <f t="shared" si="35"/>
        <v>48826</v>
      </c>
      <c r="G82" s="59">
        <f t="shared" si="35"/>
        <v>48826</v>
      </c>
      <c r="H82" s="59">
        <f t="shared" si="35"/>
        <v>48826</v>
      </c>
      <c r="I82" s="59">
        <f t="shared" si="35"/>
        <v>48826</v>
      </c>
      <c r="J82" s="59">
        <f t="shared" si="35"/>
        <v>48826</v>
      </c>
      <c r="K82" s="59">
        <f t="shared" si="35"/>
        <v>48826</v>
      </c>
      <c r="L82" s="59">
        <f t="shared" si="35"/>
        <v>57026</v>
      </c>
      <c r="M82" s="59">
        <f t="shared" si="35"/>
        <v>48826</v>
      </c>
      <c r="N82" s="59">
        <f t="shared" si="35"/>
        <v>48826</v>
      </c>
      <c r="O82" s="34"/>
      <c r="P82" s="34"/>
    </row>
    <row r="83" spans="2:20" x14ac:dyDescent="0.25">
      <c r="B83" s="59" t="s">
        <v>132</v>
      </c>
      <c r="C83" s="59">
        <f>'Bilan et CDR N'!I16</f>
        <v>6350</v>
      </c>
      <c r="D83" s="59">
        <f>C85</f>
        <v>-36410.720000000001</v>
      </c>
      <c r="E83" s="59">
        <f t="shared" ref="E83:N83" si="36">D85</f>
        <v>-74434.320000000007</v>
      </c>
      <c r="F83" s="59">
        <f t="shared" si="36"/>
        <v>-116957.92000000001</v>
      </c>
      <c r="G83" s="59">
        <f t="shared" si="36"/>
        <v>-159481.52000000002</v>
      </c>
      <c r="H83" s="59">
        <f t="shared" si="36"/>
        <v>-202005.12000000002</v>
      </c>
      <c r="I83" s="59">
        <f t="shared" si="36"/>
        <v>-243028.72000000003</v>
      </c>
      <c r="J83" s="59">
        <f t="shared" si="36"/>
        <v>-285552.32</v>
      </c>
      <c r="K83" s="59">
        <f t="shared" si="36"/>
        <v>-328075.92</v>
      </c>
      <c r="L83" s="59">
        <f t="shared" si="36"/>
        <v>-370599.51999999996</v>
      </c>
      <c r="M83" s="59">
        <f t="shared" si="36"/>
        <v>-421323.11999999994</v>
      </c>
      <c r="N83" s="59">
        <f t="shared" si="36"/>
        <v>-463846.71999999991</v>
      </c>
      <c r="O83" s="34"/>
      <c r="P83" s="34"/>
    </row>
    <row r="84" spans="2:20" x14ac:dyDescent="0.25">
      <c r="B84" s="34" t="s">
        <v>133</v>
      </c>
      <c r="C84" s="34">
        <f t="shared" ref="C84:N84" si="37">C72-C82</f>
        <v>-42760.72</v>
      </c>
      <c r="D84" s="34">
        <f t="shared" si="37"/>
        <v>-38023.599999999999</v>
      </c>
      <c r="E84" s="34">
        <f t="shared" si="37"/>
        <v>-42523.6</v>
      </c>
      <c r="F84" s="34">
        <f t="shared" si="37"/>
        <v>-42523.6</v>
      </c>
      <c r="G84" s="34">
        <f t="shared" si="37"/>
        <v>-42523.6</v>
      </c>
      <c r="H84" s="34">
        <f t="shared" si="37"/>
        <v>-41023.599999999999</v>
      </c>
      <c r="I84" s="34">
        <f t="shared" si="37"/>
        <v>-42523.6</v>
      </c>
      <c r="J84" s="34">
        <f t="shared" si="37"/>
        <v>-42523.6</v>
      </c>
      <c r="K84" s="34">
        <f t="shared" si="37"/>
        <v>-42523.6</v>
      </c>
      <c r="L84" s="34">
        <f t="shared" si="37"/>
        <v>-50723.6</v>
      </c>
      <c r="M84" s="34">
        <f t="shared" si="37"/>
        <v>-42523.6</v>
      </c>
      <c r="N84" s="34">
        <f t="shared" si="37"/>
        <v>-42523.6</v>
      </c>
      <c r="O84" s="34"/>
      <c r="P84" s="34"/>
    </row>
    <row r="85" spans="2:20" x14ac:dyDescent="0.25">
      <c r="B85" s="59" t="s">
        <v>134</v>
      </c>
      <c r="C85" s="59">
        <f>C83+C84</f>
        <v>-36410.720000000001</v>
      </c>
      <c r="D85" s="59">
        <f t="shared" ref="D85:N85" si="38">D83+D84</f>
        <v>-74434.320000000007</v>
      </c>
      <c r="E85" s="59">
        <f t="shared" si="38"/>
        <v>-116957.92000000001</v>
      </c>
      <c r="F85" s="59">
        <f t="shared" si="38"/>
        <v>-159481.52000000002</v>
      </c>
      <c r="G85" s="59">
        <f t="shared" si="38"/>
        <v>-202005.12000000002</v>
      </c>
      <c r="H85" s="59">
        <f t="shared" si="38"/>
        <v>-243028.72000000003</v>
      </c>
      <c r="I85" s="59">
        <f t="shared" si="38"/>
        <v>-285552.32</v>
      </c>
      <c r="J85" s="59">
        <f t="shared" si="38"/>
        <v>-328075.92</v>
      </c>
      <c r="K85" s="59">
        <f t="shared" si="38"/>
        <v>-370599.51999999996</v>
      </c>
      <c r="L85" s="59">
        <f t="shared" si="38"/>
        <v>-421323.11999999994</v>
      </c>
      <c r="M85" s="59">
        <f t="shared" si="38"/>
        <v>-463846.71999999991</v>
      </c>
      <c r="N85" s="59">
        <f t="shared" si="38"/>
        <v>-506370.31999999989</v>
      </c>
      <c r="O85" s="60" t="s">
        <v>135</v>
      </c>
      <c r="P85" s="61">
        <f>N85</f>
        <v>-506370.31999999989</v>
      </c>
    </row>
    <row r="87" spans="2:20" ht="28.5" customHeight="1" x14ac:dyDescent="0.45">
      <c r="B87" s="212" t="s">
        <v>136</v>
      </c>
      <c r="C87" s="212"/>
      <c r="D87" s="212"/>
      <c r="E87" s="212"/>
      <c r="F87" s="212"/>
      <c r="G87" s="212"/>
      <c r="H87" s="212"/>
      <c r="I87" s="212"/>
      <c r="J87" s="212"/>
      <c r="K87" s="212"/>
      <c r="L87" s="212"/>
      <c r="M87" s="212"/>
      <c r="N87" s="212"/>
      <c r="O87" s="212"/>
      <c r="P87" s="212"/>
    </row>
    <row r="89" spans="2:20" x14ac:dyDescent="0.25">
      <c r="B89" s="227" t="s">
        <v>137</v>
      </c>
      <c r="C89" s="227"/>
      <c r="D89" s="227"/>
      <c r="E89" s="227"/>
      <c r="F89" s="227"/>
      <c r="G89" s="227"/>
      <c r="H89" s="227"/>
      <c r="I89" s="227"/>
      <c r="J89" s="227"/>
      <c r="K89" s="227"/>
      <c r="L89" s="227"/>
      <c r="M89" s="227"/>
      <c r="N89" s="227"/>
      <c r="O89" s="227"/>
      <c r="P89" s="227"/>
    </row>
    <row r="90" spans="2:20" x14ac:dyDescent="0.25">
      <c r="B90" s="213"/>
      <c r="C90" s="215" t="s">
        <v>50</v>
      </c>
      <c r="D90" s="215" t="s">
        <v>51</v>
      </c>
      <c r="E90" s="215" t="s">
        <v>52</v>
      </c>
      <c r="F90" s="215" t="s">
        <v>53</v>
      </c>
      <c r="G90" s="215" t="s">
        <v>54</v>
      </c>
      <c r="H90" s="215" t="s">
        <v>55</v>
      </c>
      <c r="I90" s="215" t="s">
        <v>56</v>
      </c>
      <c r="J90" s="215" t="s">
        <v>57</v>
      </c>
      <c r="K90" s="215" t="s">
        <v>58</v>
      </c>
      <c r="L90" s="215" t="s">
        <v>59</v>
      </c>
      <c r="M90" s="215" t="s">
        <v>60</v>
      </c>
      <c r="N90" s="215" t="s">
        <v>61</v>
      </c>
      <c r="O90" s="220" t="s">
        <v>62</v>
      </c>
      <c r="P90" s="221"/>
      <c r="S90" s="228" t="s">
        <v>138</v>
      </c>
      <c r="T90" s="229"/>
    </row>
    <row r="91" spans="2:20" x14ac:dyDescent="0.25">
      <c r="B91" s="214"/>
      <c r="C91" s="216"/>
      <c r="D91" s="216"/>
      <c r="E91" s="216"/>
      <c r="F91" s="216"/>
      <c r="G91" s="216"/>
      <c r="H91" s="216"/>
      <c r="I91" s="216"/>
      <c r="J91" s="216"/>
      <c r="K91" s="216"/>
      <c r="L91" s="216"/>
      <c r="M91" s="216"/>
      <c r="N91" s="216"/>
      <c r="O91" s="58" t="s">
        <v>64</v>
      </c>
      <c r="P91" s="58" t="s">
        <v>65</v>
      </c>
      <c r="S91" s="143" t="s">
        <v>1</v>
      </c>
      <c r="T91" s="21">
        <f>P92</f>
        <v>64914.719999999994</v>
      </c>
    </row>
    <row r="92" spans="2:20" x14ac:dyDescent="0.25">
      <c r="B92" s="34" t="s">
        <v>66</v>
      </c>
      <c r="C92" s="34">
        <f>$P$5*1.03/12</f>
        <v>5409.56</v>
      </c>
      <c r="D92" s="34">
        <f t="shared" ref="D92:N92" si="39">$P$5*1.03/12</f>
        <v>5409.56</v>
      </c>
      <c r="E92" s="34">
        <f t="shared" si="39"/>
        <v>5409.56</v>
      </c>
      <c r="F92" s="34">
        <f t="shared" si="39"/>
        <v>5409.56</v>
      </c>
      <c r="G92" s="34">
        <f t="shared" si="39"/>
        <v>5409.56</v>
      </c>
      <c r="H92" s="34">
        <f t="shared" si="39"/>
        <v>5409.56</v>
      </c>
      <c r="I92" s="34">
        <f t="shared" si="39"/>
        <v>5409.56</v>
      </c>
      <c r="J92" s="34">
        <f t="shared" si="39"/>
        <v>5409.56</v>
      </c>
      <c r="K92" s="34">
        <f t="shared" si="39"/>
        <v>5409.56</v>
      </c>
      <c r="L92" s="34">
        <f t="shared" si="39"/>
        <v>5409.56</v>
      </c>
      <c r="M92" s="34">
        <f t="shared" si="39"/>
        <v>5409.56</v>
      </c>
      <c r="N92" s="34">
        <f t="shared" si="39"/>
        <v>5409.56</v>
      </c>
      <c r="O92" s="60" t="s">
        <v>1</v>
      </c>
      <c r="P92" s="61">
        <f>SUM(C92:N92)</f>
        <v>64914.719999999994</v>
      </c>
      <c r="S92" s="143" t="s">
        <v>67</v>
      </c>
      <c r="T92" s="21">
        <v>0</v>
      </c>
    </row>
    <row r="93" spans="2:20" x14ac:dyDescent="0.25">
      <c r="B93" s="34" t="s">
        <v>68</v>
      </c>
      <c r="C93" s="34">
        <f t="shared" ref="C93:N93" si="40">C92*20%</f>
        <v>1081.912</v>
      </c>
      <c r="D93" s="34">
        <f t="shared" si="40"/>
        <v>1081.912</v>
      </c>
      <c r="E93" s="34">
        <f t="shared" si="40"/>
        <v>1081.912</v>
      </c>
      <c r="F93" s="34">
        <f t="shared" si="40"/>
        <v>1081.912</v>
      </c>
      <c r="G93" s="34">
        <f t="shared" si="40"/>
        <v>1081.912</v>
      </c>
      <c r="H93" s="34">
        <f t="shared" si="40"/>
        <v>1081.912</v>
      </c>
      <c r="I93" s="34">
        <f t="shared" si="40"/>
        <v>1081.912</v>
      </c>
      <c r="J93" s="34">
        <f t="shared" si="40"/>
        <v>1081.912</v>
      </c>
      <c r="K93" s="34">
        <f t="shared" si="40"/>
        <v>1081.912</v>
      </c>
      <c r="L93" s="34">
        <f t="shared" si="40"/>
        <v>1081.912</v>
      </c>
      <c r="M93" s="34">
        <f t="shared" si="40"/>
        <v>1081.912</v>
      </c>
      <c r="N93" s="34">
        <f t="shared" si="40"/>
        <v>1081.912</v>
      </c>
      <c r="O93" s="34"/>
      <c r="P93" s="34"/>
      <c r="S93" s="144" t="s">
        <v>10</v>
      </c>
      <c r="T93" s="131">
        <f>T91+T92</f>
        <v>64914.719999999994</v>
      </c>
    </row>
    <row r="94" spans="2:20" x14ac:dyDescent="0.25">
      <c r="B94" s="34" t="s">
        <v>69</v>
      </c>
      <c r="C94" s="34">
        <f t="shared" ref="C94:N94" si="41">C92+C93</f>
        <v>6491.4720000000007</v>
      </c>
      <c r="D94" s="34">
        <f t="shared" si="41"/>
        <v>6491.4720000000007</v>
      </c>
      <c r="E94" s="34">
        <f t="shared" si="41"/>
        <v>6491.4720000000007</v>
      </c>
      <c r="F94" s="34">
        <f t="shared" si="41"/>
        <v>6491.4720000000007</v>
      </c>
      <c r="G94" s="34">
        <f t="shared" si="41"/>
        <v>6491.4720000000007</v>
      </c>
      <c r="H94" s="34">
        <f t="shared" si="41"/>
        <v>6491.4720000000007</v>
      </c>
      <c r="I94" s="34">
        <f t="shared" si="41"/>
        <v>6491.4720000000007</v>
      </c>
      <c r="J94" s="34">
        <f t="shared" si="41"/>
        <v>6491.4720000000007</v>
      </c>
      <c r="K94" s="34">
        <f t="shared" si="41"/>
        <v>6491.4720000000007</v>
      </c>
      <c r="L94" s="34">
        <f t="shared" si="41"/>
        <v>6491.4720000000007</v>
      </c>
      <c r="M94" s="34">
        <f t="shared" si="41"/>
        <v>6491.4720000000007</v>
      </c>
      <c r="N94" s="34">
        <f t="shared" si="41"/>
        <v>6491.4720000000007</v>
      </c>
      <c r="O94" s="34"/>
      <c r="P94" s="34"/>
      <c r="S94" s="143" t="s">
        <v>70</v>
      </c>
      <c r="T94" s="21">
        <f>P101</f>
        <v>20772.7104</v>
      </c>
    </row>
    <row r="95" spans="2:20" x14ac:dyDescent="0.25">
      <c r="B95" s="59" t="s">
        <v>139</v>
      </c>
      <c r="C95" s="59">
        <f>V35</f>
        <v>6302.4</v>
      </c>
      <c r="D95" s="59">
        <f t="shared" ref="D95:N95" si="42">C94</f>
        <v>6491.4720000000007</v>
      </c>
      <c r="E95" s="59">
        <f t="shared" si="42"/>
        <v>6491.4720000000007</v>
      </c>
      <c r="F95" s="59">
        <f t="shared" si="42"/>
        <v>6491.4720000000007</v>
      </c>
      <c r="G95" s="59">
        <f t="shared" si="42"/>
        <v>6491.4720000000007</v>
      </c>
      <c r="H95" s="59">
        <f t="shared" si="42"/>
        <v>6491.4720000000007</v>
      </c>
      <c r="I95" s="59">
        <f t="shared" si="42"/>
        <v>6491.4720000000007</v>
      </c>
      <c r="J95" s="59">
        <f t="shared" si="42"/>
        <v>6491.4720000000007</v>
      </c>
      <c r="K95" s="59">
        <f t="shared" si="42"/>
        <v>6491.4720000000007</v>
      </c>
      <c r="L95" s="59">
        <f t="shared" si="42"/>
        <v>6491.4720000000007</v>
      </c>
      <c r="M95" s="59">
        <f t="shared" si="42"/>
        <v>6491.4720000000007</v>
      </c>
      <c r="N95" s="59">
        <f t="shared" si="42"/>
        <v>6491.4720000000007</v>
      </c>
      <c r="O95" s="60" t="s">
        <v>72</v>
      </c>
      <c r="P95" s="61">
        <f>N94</f>
        <v>6491.4720000000007</v>
      </c>
      <c r="S95" s="143" t="s">
        <v>73</v>
      </c>
      <c r="T95" s="21">
        <f>P110</f>
        <v>85200</v>
      </c>
    </row>
    <row r="96" spans="2:20" x14ac:dyDescent="0.25">
      <c r="S96" s="143" t="s">
        <v>18</v>
      </c>
      <c r="T96" s="21">
        <f>P127</f>
        <v>8200</v>
      </c>
    </row>
    <row r="97" spans="2:24" x14ac:dyDescent="0.25">
      <c r="S97" s="143" t="s">
        <v>20</v>
      </c>
      <c r="T97" s="21">
        <f>P119</f>
        <v>307500</v>
      </c>
    </row>
    <row r="98" spans="2:24" x14ac:dyDescent="0.25">
      <c r="B98" s="219" t="s">
        <v>140</v>
      </c>
      <c r="C98" s="219"/>
      <c r="D98" s="219"/>
      <c r="E98" s="219"/>
      <c r="F98" s="219"/>
      <c r="G98" s="219"/>
      <c r="H98" s="219"/>
      <c r="I98" s="219"/>
      <c r="J98" s="219"/>
      <c r="K98" s="219"/>
      <c r="L98" s="219"/>
      <c r="M98" s="219"/>
      <c r="N98" s="219"/>
      <c r="O98" s="219"/>
      <c r="P98" s="219"/>
      <c r="S98" s="143" t="s">
        <v>21</v>
      </c>
      <c r="T98" s="21">
        <f>P120</f>
        <v>123000</v>
      </c>
    </row>
    <row r="99" spans="2:24" x14ac:dyDescent="0.25">
      <c r="B99" s="213"/>
      <c r="C99" s="215" t="s">
        <v>50</v>
      </c>
      <c r="D99" s="215" t="s">
        <v>51</v>
      </c>
      <c r="E99" s="215" t="s">
        <v>52</v>
      </c>
      <c r="F99" s="215" t="s">
        <v>53</v>
      </c>
      <c r="G99" s="215" t="s">
        <v>54</v>
      </c>
      <c r="H99" s="215" t="s">
        <v>55</v>
      </c>
      <c r="I99" s="215" t="s">
        <v>56</v>
      </c>
      <c r="J99" s="215" t="s">
        <v>57</v>
      </c>
      <c r="K99" s="215" t="s">
        <v>58</v>
      </c>
      <c r="L99" s="215" t="s">
        <v>59</v>
      </c>
      <c r="M99" s="215" t="s">
        <v>60</v>
      </c>
      <c r="N99" s="215" t="s">
        <v>61</v>
      </c>
      <c r="O99" s="220" t="s">
        <v>62</v>
      </c>
      <c r="P99" s="221"/>
      <c r="S99" s="143" t="s">
        <v>75</v>
      </c>
      <c r="T99" s="21">
        <f>P117</f>
        <v>11705.95238095238</v>
      </c>
      <c r="W99" s="20" t="s">
        <v>141</v>
      </c>
    </row>
    <row r="100" spans="2:24" x14ac:dyDescent="0.25">
      <c r="B100" s="214"/>
      <c r="C100" s="216"/>
      <c r="D100" s="216"/>
      <c r="E100" s="216"/>
      <c r="F100" s="216"/>
      <c r="G100" s="216"/>
      <c r="H100" s="216"/>
      <c r="I100" s="216"/>
      <c r="J100" s="216"/>
      <c r="K100" s="216"/>
      <c r="L100" s="216"/>
      <c r="M100" s="216"/>
      <c r="N100" s="216"/>
      <c r="O100" s="58" t="s">
        <v>64</v>
      </c>
      <c r="P100" s="58" t="s">
        <v>65</v>
      </c>
      <c r="S100" s="144" t="s">
        <v>76</v>
      </c>
      <c r="T100" s="131">
        <f>SUM(T94:T99)</f>
        <v>556378.66278095241</v>
      </c>
      <c r="W100" s="20">
        <v>55</v>
      </c>
    </row>
    <row r="101" spans="2:24" x14ac:dyDescent="0.25">
      <c r="B101" s="34" t="s">
        <v>77</v>
      </c>
      <c r="C101" s="34">
        <f t="shared" ref="C101:N101" si="43">C92*32%</f>
        <v>1731.0592000000001</v>
      </c>
      <c r="D101" s="34">
        <f t="shared" si="43"/>
        <v>1731.0592000000001</v>
      </c>
      <c r="E101" s="34">
        <f t="shared" si="43"/>
        <v>1731.0592000000001</v>
      </c>
      <c r="F101" s="34">
        <f t="shared" si="43"/>
        <v>1731.0592000000001</v>
      </c>
      <c r="G101" s="34">
        <f t="shared" si="43"/>
        <v>1731.0592000000001</v>
      </c>
      <c r="H101" s="34">
        <f t="shared" si="43"/>
        <v>1731.0592000000001</v>
      </c>
      <c r="I101" s="34">
        <f t="shared" si="43"/>
        <v>1731.0592000000001</v>
      </c>
      <c r="J101" s="34">
        <f t="shared" si="43"/>
        <v>1731.0592000000001</v>
      </c>
      <c r="K101" s="34">
        <f t="shared" si="43"/>
        <v>1731.0592000000001</v>
      </c>
      <c r="L101" s="34">
        <f t="shared" si="43"/>
        <v>1731.0592000000001</v>
      </c>
      <c r="M101" s="34">
        <f t="shared" si="43"/>
        <v>1731.0592000000001</v>
      </c>
      <c r="N101" s="34">
        <f t="shared" si="43"/>
        <v>1731.0592000000001</v>
      </c>
      <c r="O101" s="60" t="s">
        <v>78</v>
      </c>
      <c r="P101" s="61">
        <f>SUM(C101:N101)</f>
        <v>20772.7104</v>
      </c>
      <c r="S101" s="154" t="s">
        <v>30</v>
      </c>
      <c r="T101" s="155">
        <f>T93-T100</f>
        <v>-491463.94278095243</v>
      </c>
      <c r="X101" s="20">
        <v>159</v>
      </c>
    </row>
    <row r="102" spans="2:24" x14ac:dyDescent="0.25">
      <c r="B102" s="34" t="s">
        <v>79</v>
      </c>
      <c r="C102" s="34">
        <f t="shared" ref="C102:N102" si="44">C101*20%</f>
        <v>346.21184000000005</v>
      </c>
      <c r="D102" s="34">
        <f t="shared" si="44"/>
        <v>346.21184000000005</v>
      </c>
      <c r="E102" s="34">
        <f t="shared" si="44"/>
        <v>346.21184000000005</v>
      </c>
      <c r="F102" s="34">
        <f t="shared" si="44"/>
        <v>346.21184000000005</v>
      </c>
      <c r="G102" s="34">
        <f t="shared" si="44"/>
        <v>346.21184000000005</v>
      </c>
      <c r="H102" s="34">
        <f t="shared" si="44"/>
        <v>346.21184000000005</v>
      </c>
      <c r="I102" s="34">
        <f t="shared" si="44"/>
        <v>346.21184000000005</v>
      </c>
      <c r="J102" s="34">
        <f t="shared" si="44"/>
        <v>346.21184000000005</v>
      </c>
      <c r="K102" s="34">
        <f t="shared" si="44"/>
        <v>346.21184000000005</v>
      </c>
      <c r="L102" s="34">
        <f t="shared" si="44"/>
        <v>346.21184000000005</v>
      </c>
      <c r="M102" s="34">
        <f t="shared" si="44"/>
        <v>346.21184000000005</v>
      </c>
      <c r="N102" s="34">
        <f t="shared" si="44"/>
        <v>346.21184000000005</v>
      </c>
      <c r="O102" s="34"/>
      <c r="P102" s="34"/>
      <c r="S102" s="144" t="s">
        <v>33</v>
      </c>
      <c r="T102" s="131">
        <v>0</v>
      </c>
      <c r="W102" s="20">
        <f>W100/X102*7500</f>
        <v>1927.5700934579438</v>
      </c>
      <c r="X102" s="20">
        <v>214</v>
      </c>
    </row>
    <row r="103" spans="2:24" x14ac:dyDescent="0.25">
      <c r="B103" s="34" t="s">
        <v>80</v>
      </c>
      <c r="C103" s="34">
        <f t="shared" ref="C103:N103" si="45">C101+C102</f>
        <v>2077.2710400000001</v>
      </c>
      <c r="D103" s="34">
        <f t="shared" si="45"/>
        <v>2077.2710400000001</v>
      </c>
      <c r="E103" s="34">
        <f t="shared" si="45"/>
        <v>2077.2710400000001</v>
      </c>
      <c r="F103" s="34">
        <f t="shared" si="45"/>
        <v>2077.2710400000001</v>
      </c>
      <c r="G103" s="34">
        <f t="shared" si="45"/>
        <v>2077.2710400000001</v>
      </c>
      <c r="H103" s="34">
        <f t="shared" si="45"/>
        <v>2077.2710400000001</v>
      </c>
      <c r="I103" s="34">
        <f t="shared" si="45"/>
        <v>2077.2710400000001</v>
      </c>
      <c r="J103" s="34">
        <f t="shared" si="45"/>
        <v>2077.2710400000001</v>
      </c>
      <c r="K103" s="34">
        <f t="shared" si="45"/>
        <v>2077.2710400000001</v>
      </c>
      <c r="L103" s="34">
        <f t="shared" si="45"/>
        <v>2077.2710400000001</v>
      </c>
      <c r="M103" s="34">
        <f t="shared" si="45"/>
        <v>2077.2710400000001</v>
      </c>
      <c r="N103" s="34">
        <f t="shared" si="45"/>
        <v>2077.2710400000001</v>
      </c>
      <c r="O103" s="34"/>
      <c r="P103" s="34"/>
      <c r="S103" s="143" t="s">
        <v>36</v>
      </c>
      <c r="T103" s="21">
        <f>P129</f>
        <v>3150.0000000000005</v>
      </c>
      <c r="X103" s="20">
        <f>X101/X102*7500</f>
        <v>5572.4299065420564</v>
      </c>
    </row>
    <row r="104" spans="2:24" x14ac:dyDescent="0.25">
      <c r="B104" s="59" t="s">
        <v>81</v>
      </c>
      <c r="C104" s="59">
        <f t="shared" ref="C104:N104" si="46">C103</f>
        <v>2077.2710400000001</v>
      </c>
      <c r="D104" s="59">
        <f t="shared" si="46"/>
        <v>2077.2710400000001</v>
      </c>
      <c r="E104" s="59">
        <f t="shared" si="46"/>
        <v>2077.2710400000001</v>
      </c>
      <c r="F104" s="59">
        <f t="shared" si="46"/>
        <v>2077.2710400000001</v>
      </c>
      <c r="G104" s="59">
        <f t="shared" si="46"/>
        <v>2077.2710400000001</v>
      </c>
      <c r="H104" s="59">
        <f t="shared" si="46"/>
        <v>2077.2710400000001</v>
      </c>
      <c r="I104" s="59">
        <f t="shared" si="46"/>
        <v>2077.2710400000001</v>
      </c>
      <c r="J104" s="59">
        <f t="shared" si="46"/>
        <v>2077.2710400000001</v>
      </c>
      <c r="K104" s="59">
        <f t="shared" si="46"/>
        <v>2077.2710400000001</v>
      </c>
      <c r="L104" s="59">
        <f t="shared" si="46"/>
        <v>2077.2710400000001</v>
      </c>
      <c r="M104" s="59">
        <f t="shared" si="46"/>
        <v>2077.2710400000001</v>
      </c>
      <c r="N104" s="59">
        <f t="shared" si="46"/>
        <v>2077.2710400000001</v>
      </c>
      <c r="O104" s="60" t="s">
        <v>82</v>
      </c>
      <c r="P104" s="61">
        <v>0</v>
      </c>
      <c r="S104" s="144" t="s">
        <v>37</v>
      </c>
      <c r="T104" s="131">
        <f>T103</f>
        <v>3150.0000000000005</v>
      </c>
    </row>
    <row r="105" spans="2:24" x14ac:dyDescent="0.25">
      <c r="S105" s="154" t="s">
        <v>40</v>
      </c>
      <c r="T105" s="155">
        <f>T102-T104</f>
        <v>-3150.0000000000005</v>
      </c>
    </row>
    <row r="106" spans="2:24" x14ac:dyDescent="0.25">
      <c r="S106" s="154" t="s">
        <v>43</v>
      </c>
      <c r="T106" s="155">
        <f>T101-(-T105)</f>
        <v>-494613.94278095243</v>
      </c>
    </row>
    <row r="107" spans="2:24" x14ac:dyDescent="0.25">
      <c r="B107" s="219" t="s">
        <v>142</v>
      </c>
      <c r="C107" s="219"/>
      <c r="D107" s="219"/>
      <c r="E107" s="219"/>
      <c r="F107" s="219"/>
      <c r="G107" s="219"/>
      <c r="H107" s="219"/>
      <c r="I107" s="219"/>
      <c r="J107" s="219"/>
      <c r="K107" s="219"/>
      <c r="L107" s="219"/>
      <c r="M107" s="219"/>
      <c r="N107" s="219"/>
      <c r="O107" s="219"/>
      <c r="P107" s="219"/>
      <c r="S107" s="154" t="s">
        <v>45</v>
      </c>
      <c r="T107" s="21"/>
    </row>
    <row r="108" spans="2:24" x14ac:dyDescent="0.25">
      <c r="B108" s="213"/>
      <c r="C108" s="215" t="s">
        <v>50</v>
      </c>
      <c r="D108" s="215" t="s">
        <v>51</v>
      </c>
      <c r="E108" s="215" t="s">
        <v>52</v>
      </c>
      <c r="F108" s="215" t="s">
        <v>53</v>
      </c>
      <c r="G108" s="215" t="s">
        <v>54</v>
      </c>
      <c r="H108" s="215" t="s">
        <v>55</v>
      </c>
      <c r="I108" s="215" t="s">
        <v>56</v>
      </c>
      <c r="J108" s="215" t="s">
        <v>57</v>
      </c>
      <c r="K108" s="215" t="s">
        <v>58</v>
      </c>
      <c r="L108" s="215" t="s">
        <v>59</v>
      </c>
      <c r="M108" s="215" t="s">
        <v>60</v>
      </c>
      <c r="N108" s="215" t="s">
        <v>61</v>
      </c>
      <c r="O108" s="220" t="s">
        <v>62</v>
      </c>
      <c r="P108" s="221"/>
      <c r="S108" s="160" t="s">
        <v>47</v>
      </c>
      <c r="T108" s="161">
        <f>T106</f>
        <v>-494613.94278095243</v>
      </c>
    </row>
    <row r="109" spans="2:24" x14ac:dyDescent="0.25">
      <c r="B109" s="214"/>
      <c r="C109" s="216"/>
      <c r="D109" s="216"/>
      <c r="E109" s="216"/>
      <c r="F109" s="216"/>
      <c r="G109" s="216"/>
      <c r="H109" s="216"/>
      <c r="I109" s="216"/>
      <c r="J109" s="216"/>
      <c r="K109" s="216"/>
      <c r="L109" s="216"/>
      <c r="M109" s="216"/>
      <c r="N109" s="216"/>
      <c r="O109" s="58" t="s">
        <v>64</v>
      </c>
      <c r="P109" s="58" t="s">
        <v>65</v>
      </c>
    </row>
    <row r="110" spans="2:24" x14ac:dyDescent="0.25">
      <c r="B110" s="21" t="s">
        <v>84</v>
      </c>
      <c r="C110" s="21">
        <v>7100</v>
      </c>
      <c r="D110" s="21">
        <v>7100</v>
      </c>
      <c r="E110" s="21">
        <v>7100</v>
      </c>
      <c r="F110" s="21">
        <v>7100</v>
      </c>
      <c r="G110" s="21">
        <v>7100</v>
      </c>
      <c r="H110" s="21">
        <v>7100</v>
      </c>
      <c r="I110" s="21">
        <v>7100</v>
      </c>
      <c r="J110" s="21">
        <v>7100</v>
      </c>
      <c r="K110" s="21">
        <v>7100</v>
      </c>
      <c r="L110" s="21">
        <v>7100</v>
      </c>
      <c r="M110" s="21">
        <v>7100</v>
      </c>
      <c r="N110" s="22">
        <v>7100</v>
      </c>
      <c r="O110" s="60" t="s">
        <v>85</v>
      </c>
      <c r="P110" s="61">
        <f>SUM(C110:N110)</f>
        <v>85200</v>
      </c>
    </row>
    <row r="111" spans="2:24" x14ac:dyDescent="0.25">
      <c r="B111" s="21" t="s">
        <v>86</v>
      </c>
      <c r="C111" s="21">
        <f t="shared" ref="C111:N111" si="47">C110*20%</f>
        <v>1420</v>
      </c>
      <c r="D111" s="21">
        <f t="shared" si="47"/>
        <v>1420</v>
      </c>
      <c r="E111" s="21">
        <f t="shared" si="47"/>
        <v>1420</v>
      </c>
      <c r="F111" s="21">
        <f t="shared" si="47"/>
        <v>1420</v>
      </c>
      <c r="G111" s="21">
        <f t="shared" si="47"/>
        <v>1420</v>
      </c>
      <c r="H111" s="21">
        <f t="shared" si="47"/>
        <v>1420</v>
      </c>
      <c r="I111" s="21">
        <f t="shared" si="47"/>
        <v>1420</v>
      </c>
      <c r="J111" s="21">
        <f t="shared" si="47"/>
        <v>1420</v>
      </c>
      <c r="K111" s="21">
        <f t="shared" si="47"/>
        <v>1420</v>
      </c>
      <c r="L111" s="21">
        <f t="shared" si="47"/>
        <v>1420</v>
      </c>
      <c r="M111" s="21">
        <f t="shared" si="47"/>
        <v>1420</v>
      </c>
      <c r="N111" s="22">
        <f t="shared" si="47"/>
        <v>1420</v>
      </c>
      <c r="O111" s="47"/>
      <c r="P111" s="48"/>
    </row>
    <row r="112" spans="2:24" x14ac:dyDescent="0.25">
      <c r="B112" s="23" t="s">
        <v>87</v>
      </c>
      <c r="C112" s="23">
        <f t="shared" ref="C112:N112" si="48">C110+C111</f>
        <v>8520</v>
      </c>
      <c r="D112" s="23">
        <f t="shared" si="48"/>
        <v>8520</v>
      </c>
      <c r="E112" s="23">
        <f t="shared" si="48"/>
        <v>8520</v>
      </c>
      <c r="F112" s="23">
        <f t="shared" si="48"/>
        <v>8520</v>
      </c>
      <c r="G112" s="23">
        <f t="shared" si="48"/>
        <v>8520</v>
      </c>
      <c r="H112" s="23">
        <f t="shared" si="48"/>
        <v>8520</v>
      </c>
      <c r="I112" s="23">
        <f t="shared" si="48"/>
        <v>8520</v>
      </c>
      <c r="J112" s="23">
        <f t="shared" si="48"/>
        <v>8520</v>
      </c>
      <c r="K112" s="23">
        <f t="shared" si="48"/>
        <v>8520</v>
      </c>
      <c r="L112" s="23">
        <f t="shared" si="48"/>
        <v>8520</v>
      </c>
      <c r="M112" s="23">
        <f t="shared" si="48"/>
        <v>8520</v>
      </c>
      <c r="N112" s="25">
        <f t="shared" si="48"/>
        <v>8520</v>
      </c>
      <c r="O112" s="34"/>
      <c r="P112" s="34"/>
      <c r="S112" s="228" t="s">
        <v>143</v>
      </c>
      <c r="T112" s="229"/>
      <c r="U112" s="228"/>
      <c r="V112" s="229"/>
      <c r="W112" s="228"/>
      <c r="X112" s="229"/>
    </row>
    <row r="113" spans="2:24" ht="30" x14ac:dyDescent="0.25">
      <c r="B113" s="59" t="s">
        <v>81</v>
      </c>
      <c r="C113" s="59">
        <f t="shared" ref="C113:N113" si="49">+C110+C111</f>
        <v>8520</v>
      </c>
      <c r="D113" s="59">
        <f t="shared" si="49"/>
        <v>8520</v>
      </c>
      <c r="E113" s="59">
        <f t="shared" si="49"/>
        <v>8520</v>
      </c>
      <c r="F113" s="59">
        <f t="shared" si="49"/>
        <v>8520</v>
      </c>
      <c r="G113" s="59">
        <f t="shared" si="49"/>
        <v>8520</v>
      </c>
      <c r="H113" s="59">
        <f t="shared" si="49"/>
        <v>8520</v>
      </c>
      <c r="I113" s="59">
        <f t="shared" si="49"/>
        <v>8520</v>
      </c>
      <c r="J113" s="59">
        <f t="shared" si="49"/>
        <v>8520</v>
      </c>
      <c r="K113" s="59">
        <f t="shared" si="49"/>
        <v>8520</v>
      </c>
      <c r="L113" s="59">
        <f t="shared" si="49"/>
        <v>8520</v>
      </c>
      <c r="M113" s="59">
        <f t="shared" si="49"/>
        <v>8520</v>
      </c>
      <c r="N113" s="59">
        <f t="shared" si="49"/>
        <v>8520</v>
      </c>
      <c r="O113" s="47"/>
      <c r="P113" s="34"/>
      <c r="S113" s="144" t="s">
        <v>2</v>
      </c>
      <c r="T113" s="145" t="s">
        <v>3</v>
      </c>
      <c r="U113" s="145" t="s">
        <v>4</v>
      </c>
      <c r="V113" s="145" t="s">
        <v>5</v>
      </c>
      <c r="W113" s="146" t="s">
        <v>6</v>
      </c>
      <c r="X113" s="147" t="s">
        <v>5</v>
      </c>
    </row>
    <row r="114" spans="2:24" x14ac:dyDescent="0.25">
      <c r="B114" s="28" t="s">
        <v>89</v>
      </c>
      <c r="C114" s="21"/>
      <c r="D114" s="21"/>
      <c r="E114" s="21"/>
      <c r="F114" s="21"/>
      <c r="G114" s="21"/>
      <c r="H114" s="21"/>
      <c r="I114" s="21"/>
      <c r="J114" s="21"/>
      <c r="K114" s="21"/>
      <c r="L114" s="21"/>
      <c r="M114" s="21"/>
      <c r="N114" s="22">
        <v>7500</v>
      </c>
      <c r="O114" s="47"/>
      <c r="P114" s="48"/>
      <c r="S114" s="148" t="s">
        <v>8</v>
      </c>
      <c r="T114" s="148">
        <f>SUM(T115:T118)</f>
        <v>253500</v>
      </c>
      <c r="U114" s="148">
        <f>SUM(U115:U116)</f>
        <v>61520.238095238106</v>
      </c>
      <c r="V114" s="148">
        <f>SUM(V115:V116)</f>
        <v>191979.76190476189</v>
      </c>
      <c r="W114" s="148" t="s">
        <v>9</v>
      </c>
      <c r="X114" s="149">
        <f>SUM(X115:X118)</f>
        <v>-911583.42849523807</v>
      </c>
    </row>
    <row r="115" spans="2:24" x14ac:dyDescent="0.25">
      <c r="B115" s="26" t="s">
        <v>144</v>
      </c>
      <c r="C115" s="27"/>
      <c r="D115" s="21"/>
      <c r="E115" s="21"/>
      <c r="F115" s="21"/>
      <c r="G115" s="21"/>
      <c r="H115" s="21"/>
      <c r="I115" s="21"/>
      <c r="J115" s="21"/>
      <c r="K115" s="21"/>
      <c r="L115" s="21"/>
      <c r="M115" s="21"/>
      <c r="N115" s="22">
        <f>P115</f>
        <v>3214.2857142857142</v>
      </c>
      <c r="O115" s="60" t="s">
        <v>90</v>
      </c>
      <c r="P115" s="61">
        <f>Emprunt!K7</f>
        <v>3214.2857142857142</v>
      </c>
      <c r="S115" s="150" t="s">
        <v>11</v>
      </c>
      <c r="T115" s="150">
        <f>T28+P137</f>
        <v>176000</v>
      </c>
      <c r="U115" s="150">
        <f>U28+AB31+P116</f>
        <v>20636.526479750781</v>
      </c>
      <c r="V115" s="150">
        <f>T115-U115</f>
        <v>155363.47352024922</v>
      </c>
      <c r="W115" s="150" t="s">
        <v>12</v>
      </c>
      <c r="X115" s="151">
        <v>50000</v>
      </c>
    </row>
    <row r="116" spans="2:24" x14ac:dyDescent="0.25">
      <c r="B116" s="29" t="s">
        <v>145</v>
      </c>
      <c r="C116" s="21"/>
      <c r="D116" s="21"/>
      <c r="E116" s="21"/>
      <c r="F116" s="21"/>
      <c r="G116" s="21"/>
      <c r="H116" s="21"/>
      <c r="I116" s="21"/>
      <c r="J116" s="21"/>
      <c r="K116" s="21"/>
      <c r="L116" s="21"/>
      <c r="M116" s="21"/>
      <c r="N116" s="22">
        <f>P116</f>
        <v>991.66666666666674</v>
      </c>
      <c r="O116" s="60" t="s">
        <v>90</v>
      </c>
      <c r="P116" s="61">
        <f>Emprunt!K14</f>
        <v>991.66666666666674</v>
      </c>
      <c r="S116" s="150" t="s">
        <v>14</v>
      </c>
      <c r="T116" s="150">
        <f>T29</f>
        <v>77500</v>
      </c>
      <c r="U116" s="150">
        <f>U29+AA30+P115</f>
        <v>40883.711615487322</v>
      </c>
      <c r="V116" s="150">
        <f>T116-U116</f>
        <v>36616.288384512678</v>
      </c>
      <c r="W116" s="150" t="s">
        <v>15</v>
      </c>
      <c r="X116" s="151">
        <v>5000</v>
      </c>
    </row>
    <row r="117" spans="2:24" ht="30" x14ac:dyDescent="0.25">
      <c r="B117" s="59" t="s">
        <v>94</v>
      </c>
      <c r="C117" s="59">
        <f t="shared" ref="C117:M117" si="50">C114+C115</f>
        <v>0</v>
      </c>
      <c r="D117" s="59">
        <f t="shared" si="50"/>
        <v>0</v>
      </c>
      <c r="E117" s="59">
        <f t="shared" si="50"/>
        <v>0</v>
      </c>
      <c r="F117" s="59">
        <f t="shared" si="50"/>
        <v>0</v>
      </c>
      <c r="G117" s="59">
        <f t="shared" si="50"/>
        <v>0</v>
      </c>
      <c r="H117" s="59">
        <f t="shared" si="50"/>
        <v>0</v>
      </c>
      <c r="I117" s="59">
        <f t="shared" si="50"/>
        <v>0</v>
      </c>
      <c r="J117" s="59">
        <f t="shared" si="50"/>
        <v>0</v>
      </c>
      <c r="K117" s="59">
        <f t="shared" si="50"/>
        <v>0</v>
      </c>
      <c r="L117" s="59">
        <f t="shared" si="50"/>
        <v>0</v>
      </c>
      <c r="M117" s="59">
        <f t="shared" si="50"/>
        <v>0</v>
      </c>
      <c r="N117" s="59">
        <f>N114+N115+N116</f>
        <v>11705.95238095238</v>
      </c>
      <c r="O117" s="60" t="s">
        <v>93</v>
      </c>
      <c r="P117" s="61">
        <f>SUM(C117:N117)</f>
        <v>11705.95238095238</v>
      </c>
      <c r="S117" s="148"/>
      <c r="T117" s="148"/>
      <c r="U117" s="148"/>
      <c r="V117" s="148"/>
      <c r="W117" s="150" t="s">
        <v>17</v>
      </c>
      <c r="X117" s="151">
        <f>X30+X31</f>
        <v>-471969.48571428563</v>
      </c>
    </row>
    <row r="118" spans="2:24" x14ac:dyDescent="0.25">
      <c r="B118" s="21" t="s">
        <v>95</v>
      </c>
      <c r="C118" s="21">
        <f t="shared" ref="C118:N118" si="51">307500/12</f>
        <v>25625</v>
      </c>
      <c r="D118" s="21">
        <f t="shared" si="51"/>
        <v>25625</v>
      </c>
      <c r="E118" s="21">
        <f t="shared" si="51"/>
        <v>25625</v>
      </c>
      <c r="F118" s="21">
        <f t="shared" si="51"/>
        <v>25625</v>
      </c>
      <c r="G118" s="21">
        <f t="shared" si="51"/>
        <v>25625</v>
      </c>
      <c r="H118" s="21">
        <f t="shared" si="51"/>
        <v>25625</v>
      </c>
      <c r="I118" s="21">
        <f t="shared" si="51"/>
        <v>25625</v>
      </c>
      <c r="J118" s="21">
        <f t="shared" si="51"/>
        <v>25625</v>
      </c>
      <c r="K118" s="21">
        <f t="shared" si="51"/>
        <v>25625</v>
      </c>
      <c r="L118" s="21">
        <f t="shared" si="51"/>
        <v>25625</v>
      </c>
      <c r="M118" s="21">
        <f t="shared" si="51"/>
        <v>25625</v>
      </c>
      <c r="N118" s="22">
        <f t="shared" si="51"/>
        <v>25625</v>
      </c>
      <c r="O118" s="47"/>
      <c r="P118" s="48"/>
      <c r="S118" s="150"/>
      <c r="T118" s="150"/>
      <c r="U118" s="150"/>
      <c r="V118" s="150"/>
      <c r="W118" s="150" t="s">
        <v>19</v>
      </c>
      <c r="X118" s="151">
        <f>T108</f>
        <v>-494613.94278095243</v>
      </c>
    </row>
    <row r="119" spans="2:24" x14ac:dyDescent="0.25">
      <c r="B119" s="59" t="s">
        <v>96</v>
      </c>
      <c r="C119" s="59">
        <f t="shared" ref="C119:N119" si="52">C118</f>
        <v>25625</v>
      </c>
      <c r="D119" s="59">
        <f t="shared" si="52"/>
        <v>25625</v>
      </c>
      <c r="E119" s="59">
        <f t="shared" si="52"/>
        <v>25625</v>
      </c>
      <c r="F119" s="59">
        <f t="shared" si="52"/>
        <v>25625</v>
      </c>
      <c r="G119" s="59">
        <f t="shared" si="52"/>
        <v>25625</v>
      </c>
      <c r="H119" s="59">
        <f t="shared" si="52"/>
        <v>25625</v>
      </c>
      <c r="I119" s="59">
        <f t="shared" si="52"/>
        <v>25625</v>
      </c>
      <c r="J119" s="59">
        <f t="shared" si="52"/>
        <v>25625</v>
      </c>
      <c r="K119" s="59">
        <f t="shared" si="52"/>
        <v>25625</v>
      </c>
      <c r="L119" s="59">
        <f t="shared" si="52"/>
        <v>25625</v>
      </c>
      <c r="M119" s="59">
        <f t="shared" si="52"/>
        <v>25625</v>
      </c>
      <c r="N119" s="59">
        <f t="shared" si="52"/>
        <v>25625</v>
      </c>
      <c r="O119" s="60" t="s">
        <v>97</v>
      </c>
      <c r="P119" s="61">
        <f>SUM(C119:N119)</f>
        <v>307500</v>
      </c>
      <c r="S119" s="152"/>
      <c r="T119" s="153"/>
      <c r="V119" s="153"/>
      <c r="W119" s="151"/>
      <c r="X119" s="149"/>
    </row>
    <row r="120" spans="2:24" x14ac:dyDescent="0.25">
      <c r="B120" s="21" t="s">
        <v>21</v>
      </c>
      <c r="C120" s="21">
        <f t="shared" ref="C120:N120" si="53">C118*0.4</f>
        <v>10250</v>
      </c>
      <c r="D120" s="21">
        <f t="shared" si="53"/>
        <v>10250</v>
      </c>
      <c r="E120" s="21">
        <f t="shared" si="53"/>
        <v>10250</v>
      </c>
      <c r="F120" s="21">
        <f t="shared" si="53"/>
        <v>10250</v>
      </c>
      <c r="G120" s="21">
        <f t="shared" si="53"/>
        <v>10250</v>
      </c>
      <c r="H120" s="21">
        <f t="shared" si="53"/>
        <v>10250</v>
      </c>
      <c r="I120" s="21">
        <f t="shared" si="53"/>
        <v>10250</v>
      </c>
      <c r="J120" s="21">
        <f t="shared" si="53"/>
        <v>10250</v>
      </c>
      <c r="K120" s="21">
        <f t="shared" si="53"/>
        <v>10250</v>
      </c>
      <c r="L120" s="21">
        <f t="shared" si="53"/>
        <v>10250</v>
      </c>
      <c r="M120" s="21">
        <f t="shared" si="53"/>
        <v>10250</v>
      </c>
      <c r="N120" s="22">
        <f t="shared" si="53"/>
        <v>10250</v>
      </c>
      <c r="O120" s="60" t="s">
        <v>98</v>
      </c>
      <c r="P120" s="61">
        <f>SUM(C120:N120)</f>
        <v>123000</v>
      </c>
      <c r="S120" s="148" t="s">
        <v>22</v>
      </c>
      <c r="T120" s="148">
        <f>SUM(T121:T123)</f>
        <v>-1014975.4902399995</v>
      </c>
      <c r="U120" s="148">
        <f>SUM(U121:U123)</f>
        <v>0</v>
      </c>
      <c r="V120" s="148">
        <f>SUM(V121:V123)</f>
        <v>-1014975.4902399995</v>
      </c>
      <c r="W120" s="148" t="s">
        <v>23</v>
      </c>
      <c r="X120" s="149">
        <f>SUM(X121:X124)</f>
        <v>69565.700160000008</v>
      </c>
    </row>
    <row r="121" spans="2:24" ht="30" x14ac:dyDescent="0.25">
      <c r="B121" s="59" t="s">
        <v>99</v>
      </c>
      <c r="C121" s="59">
        <f>P33</f>
        <v>10250</v>
      </c>
      <c r="D121" s="59">
        <f t="shared" ref="D121:N121" si="54">C120</f>
        <v>10250</v>
      </c>
      <c r="E121" s="59">
        <f t="shared" si="54"/>
        <v>10250</v>
      </c>
      <c r="F121" s="59">
        <f t="shared" si="54"/>
        <v>10250</v>
      </c>
      <c r="G121" s="59">
        <f t="shared" si="54"/>
        <v>10250</v>
      </c>
      <c r="H121" s="59">
        <f t="shared" si="54"/>
        <v>10250</v>
      </c>
      <c r="I121" s="59">
        <f t="shared" si="54"/>
        <v>10250</v>
      </c>
      <c r="J121" s="59">
        <f t="shared" si="54"/>
        <v>10250</v>
      </c>
      <c r="K121" s="59">
        <f t="shared" si="54"/>
        <v>10250</v>
      </c>
      <c r="L121" s="59">
        <f t="shared" si="54"/>
        <v>10250</v>
      </c>
      <c r="M121" s="59">
        <f t="shared" si="54"/>
        <v>10250</v>
      </c>
      <c r="N121" s="59">
        <f t="shared" si="54"/>
        <v>10250</v>
      </c>
      <c r="O121" s="60" t="s">
        <v>100</v>
      </c>
      <c r="P121" s="61">
        <f>N120</f>
        <v>10250</v>
      </c>
      <c r="S121" s="150" t="s">
        <v>25</v>
      </c>
      <c r="T121" s="150">
        <v>15000</v>
      </c>
      <c r="U121" s="150"/>
      <c r="V121" s="150">
        <f>T121-U121</f>
        <v>15000</v>
      </c>
      <c r="W121" s="150" t="s">
        <v>26</v>
      </c>
      <c r="X121" s="151">
        <f>Emprunt!G10</f>
        <v>60000</v>
      </c>
    </row>
    <row r="122" spans="2:24" ht="30" x14ac:dyDescent="0.25">
      <c r="S122" s="150" t="s">
        <v>28</v>
      </c>
      <c r="T122" s="150">
        <f>P95</f>
        <v>6491.4720000000007</v>
      </c>
      <c r="U122" s="150"/>
      <c r="V122" s="150">
        <f>T122-U122</f>
        <v>6491.4720000000007</v>
      </c>
      <c r="W122" s="150" t="s">
        <v>29</v>
      </c>
      <c r="X122" s="151">
        <f>0</f>
        <v>0</v>
      </c>
    </row>
    <row r="123" spans="2:24" x14ac:dyDescent="0.25">
      <c r="S123" s="150" t="s">
        <v>34</v>
      </c>
      <c r="T123" s="150">
        <f>P173</f>
        <v>-1036466.9622399994</v>
      </c>
      <c r="U123" s="150"/>
      <c r="V123" s="150">
        <f>T123-U123</f>
        <v>-1036466.9622399994</v>
      </c>
      <c r="W123" s="150" t="s">
        <v>146</v>
      </c>
      <c r="X123" s="151">
        <f>P121+P152</f>
        <v>9565.7001600000003</v>
      </c>
    </row>
    <row r="124" spans="2:24" x14ac:dyDescent="0.25">
      <c r="B124" s="219" t="s">
        <v>147</v>
      </c>
      <c r="C124" s="219"/>
      <c r="D124" s="219"/>
      <c r="E124" s="219"/>
      <c r="F124" s="219"/>
      <c r="G124" s="219"/>
      <c r="H124" s="219"/>
      <c r="I124" s="219"/>
      <c r="J124" s="219"/>
      <c r="K124" s="219"/>
      <c r="L124" s="219"/>
      <c r="M124" s="219"/>
      <c r="N124" s="219"/>
      <c r="O124" s="219"/>
      <c r="P124" s="219"/>
      <c r="S124" s="150"/>
      <c r="T124" s="150"/>
      <c r="U124" s="150"/>
      <c r="V124" s="150"/>
      <c r="W124" s="150"/>
      <c r="X124" s="151"/>
    </row>
    <row r="125" spans="2:24" x14ac:dyDescent="0.25">
      <c r="B125" s="213"/>
      <c r="C125" s="215" t="s">
        <v>50</v>
      </c>
      <c r="D125" s="215" t="s">
        <v>51</v>
      </c>
      <c r="E125" s="215" t="s">
        <v>52</v>
      </c>
      <c r="F125" s="215" t="s">
        <v>53</v>
      </c>
      <c r="G125" s="215" t="s">
        <v>54</v>
      </c>
      <c r="H125" s="215" t="s">
        <v>55</v>
      </c>
      <c r="I125" s="215" t="s">
        <v>56</v>
      </c>
      <c r="J125" s="215" t="s">
        <v>57</v>
      </c>
      <c r="K125" s="215" t="s">
        <v>58</v>
      </c>
      <c r="L125" s="215" t="s">
        <v>59</v>
      </c>
      <c r="M125" s="215" t="s">
        <v>60</v>
      </c>
      <c r="N125" s="215" t="s">
        <v>61</v>
      </c>
      <c r="O125" s="220" t="s">
        <v>62</v>
      </c>
      <c r="P125" s="221"/>
      <c r="S125" s="156" t="s">
        <v>38</v>
      </c>
      <c r="T125" s="156">
        <f>T114+T120</f>
        <v>-761475.49023999949</v>
      </c>
      <c r="U125" s="156">
        <f>U114</f>
        <v>61520.238095238106</v>
      </c>
      <c r="V125" s="156">
        <f>T125-U125</f>
        <v>-822995.7283352376</v>
      </c>
      <c r="W125" s="156" t="s">
        <v>39</v>
      </c>
      <c r="X125" s="157">
        <f>X114+X120</f>
        <v>-842017.72833523806</v>
      </c>
    </row>
    <row r="126" spans="2:24" x14ac:dyDescent="0.25">
      <c r="B126" s="214"/>
      <c r="C126" s="216"/>
      <c r="D126" s="216"/>
      <c r="E126" s="216"/>
      <c r="F126" s="216"/>
      <c r="G126" s="216"/>
      <c r="H126" s="216"/>
      <c r="I126" s="216"/>
      <c r="J126" s="216"/>
      <c r="K126" s="216"/>
      <c r="L126" s="216"/>
      <c r="M126" s="216"/>
      <c r="N126" s="216"/>
      <c r="O126" s="58" t="s">
        <v>64</v>
      </c>
      <c r="P126" s="58" t="s">
        <v>65</v>
      </c>
      <c r="W126" s="158" t="s">
        <v>42</v>
      </c>
      <c r="X126" s="159">
        <f>V125-X125</f>
        <v>19022.000000000466</v>
      </c>
    </row>
    <row r="127" spans="2:24" x14ac:dyDescent="0.25">
      <c r="B127" s="46" t="s">
        <v>102</v>
      </c>
      <c r="C127" s="34"/>
      <c r="D127" s="34"/>
      <c r="E127" s="34"/>
      <c r="F127" s="34"/>
      <c r="G127" s="34"/>
      <c r="H127" s="34"/>
      <c r="I127" s="34"/>
      <c r="J127" s="34"/>
      <c r="K127" s="34"/>
      <c r="L127" s="34">
        <v>8200</v>
      </c>
      <c r="M127" s="34"/>
      <c r="N127" s="34"/>
      <c r="O127" s="60" t="s">
        <v>103</v>
      </c>
      <c r="P127" s="61">
        <f>SUM(C127:N127)</f>
        <v>8200</v>
      </c>
    </row>
    <row r="128" spans="2:24" x14ac:dyDescent="0.25">
      <c r="B128" s="34" t="s">
        <v>105</v>
      </c>
      <c r="C128" s="34"/>
      <c r="D128" s="34"/>
      <c r="E128" s="34"/>
      <c r="F128" s="34"/>
      <c r="G128" s="34"/>
      <c r="H128" s="34"/>
      <c r="I128" s="34"/>
      <c r="J128" s="34"/>
      <c r="K128" s="34"/>
      <c r="L128" s="35">
        <v>8200</v>
      </c>
      <c r="M128" s="34"/>
      <c r="N128" s="34"/>
      <c r="O128" s="34"/>
      <c r="P128" s="34"/>
    </row>
    <row r="129" spans="2:16" x14ac:dyDescent="0.25">
      <c r="B129" s="34" t="s">
        <v>106</v>
      </c>
      <c r="C129" s="34">
        <f t="shared" ref="C129:N129" si="55">$P$129/12</f>
        <v>262.50000000000006</v>
      </c>
      <c r="D129" s="34">
        <f t="shared" si="55"/>
        <v>262.50000000000006</v>
      </c>
      <c r="E129" s="34">
        <f t="shared" si="55"/>
        <v>262.50000000000006</v>
      </c>
      <c r="F129" s="34">
        <f t="shared" si="55"/>
        <v>262.50000000000006</v>
      </c>
      <c r="G129" s="34">
        <f t="shared" si="55"/>
        <v>262.50000000000006</v>
      </c>
      <c r="H129" s="34">
        <f t="shared" si="55"/>
        <v>262.50000000000006</v>
      </c>
      <c r="I129" s="34">
        <f t="shared" si="55"/>
        <v>262.50000000000006</v>
      </c>
      <c r="J129" s="34">
        <f t="shared" si="55"/>
        <v>262.50000000000006</v>
      </c>
      <c r="K129" s="34">
        <f t="shared" si="55"/>
        <v>262.50000000000006</v>
      </c>
      <c r="L129" s="34">
        <f t="shared" si="55"/>
        <v>262.50000000000006</v>
      </c>
      <c r="M129" s="34">
        <f t="shared" si="55"/>
        <v>262.50000000000006</v>
      </c>
      <c r="N129" s="34">
        <f t="shared" si="55"/>
        <v>262.50000000000006</v>
      </c>
      <c r="O129" s="60" t="s">
        <v>107</v>
      </c>
      <c r="P129" s="61">
        <f>Emprunt!D10</f>
        <v>3150.0000000000005</v>
      </c>
    </row>
    <row r="130" spans="2:16" x14ac:dyDescent="0.25">
      <c r="B130" s="34" t="s">
        <v>108</v>
      </c>
      <c r="C130" s="34">
        <f t="shared" ref="C130:N130" si="56">$P$130/12</f>
        <v>2500</v>
      </c>
      <c r="D130" s="34">
        <f t="shared" si="56"/>
        <v>2500</v>
      </c>
      <c r="E130" s="34">
        <f t="shared" si="56"/>
        <v>2500</v>
      </c>
      <c r="F130" s="34">
        <f t="shared" si="56"/>
        <v>2500</v>
      </c>
      <c r="G130" s="34">
        <f t="shared" si="56"/>
        <v>2500</v>
      </c>
      <c r="H130" s="34">
        <f t="shared" si="56"/>
        <v>2500</v>
      </c>
      <c r="I130" s="34">
        <f t="shared" si="56"/>
        <v>2500</v>
      </c>
      <c r="J130" s="34">
        <f t="shared" si="56"/>
        <v>2500</v>
      </c>
      <c r="K130" s="34">
        <f t="shared" si="56"/>
        <v>2500</v>
      </c>
      <c r="L130" s="34">
        <f t="shared" si="56"/>
        <v>2500</v>
      </c>
      <c r="M130" s="34">
        <f t="shared" si="56"/>
        <v>2500</v>
      </c>
      <c r="N130" s="34">
        <f t="shared" si="56"/>
        <v>2500</v>
      </c>
      <c r="O130" s="60" t="s">
        <v>109</v>
      </c>
      <c r="P130" s="61">
        <f>Emprunt!E9</f>
        <v>30000</v>
      </c>
    </row>
    <row r="131" spans="2:16" x14ac:dyDescent="0.25">
      <c r="B131" s="59" t="s">
        <v>71</v>
      </c>
      <c r="C131" s="59">
        <f t="shared" ref="C131:N131" si="57">C129+C130</f>
        <v>2762.5</v>
      </c>
      <c r="D131" s="59">
        <f t="shared" si="57"/>
        <v>2762.5</v>
      </c>
      <c r="E131" s="59">
        <f t="shared" si="57"/>
        <v>2762.5</v>
      </c>
      <c r="F131" s="59">
        <f t="shared" si="57"/>
        <v>2762.5</v>
      </c>
      <c r="G131" s="59">
        <f t="shared" si="57"/>
        <v>2762.5</v>
      </c>
      <c r="H131" s="59">
        <f t="shared" si="57"/>
        <v>2762.5</v>
      </c>
      <c r="I131" s="59">
        <f t="shared" si="57"/>
        <v>2762.5</v>
      </c>
      <c r="J131" s="59">
        <f t="shared" si="57"/>
        <v>2762.5</v>
      </c>
      <c r="K131" s="59">
        <f t="shared" si="57"/>
        <v>2762.5</v>
      </c>
      <c r="L131" s="59">
        <f>L129+L130</f>
        <v>2762.5</v>
      </c>
      <c r="M131" s="59">
        <f t="shared" si="57"/>
        <v>2762.5</v>
      </c>
      <c r="N131" s="59">
        <f t="shared" si="57"/>
        <v>2762.5</v>
      </c>
      <c r="O131" s="113"/>
      <c r="P131" s="113"/>
    </row>
    <row r="134" spans="2:16" x14ac:dyDescent="0.25">
      <c r="B134" s="177" t="s">
        <v>148</v>
      </c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</row>
    <row r="135" spans="2:16" x14ac:dyDescent="0.25">
      <c r="B135" s="213"/>
      <c r="C135" s="215" t="s">
        <v>50</v>
      </c>
      <c r="D135" s="215" t="s">
        <v>51</v>
      </c>
      <c r="E135" s="215" t="s">
        <v>52</v>
      </c>
      <c r="F135" s="215" t="s">
        <v>53</v>
      </c>
      <c r="G135" s="215" t="s">
        <v>54</v>
      </c>
      <c r="H135" s="215" t="s">
        <v>55</v>
      </c>
      <c r="I135" s="215" t="s">
        <v>56</v>
      </c>
      <c r="J135" s="215" t="s">
        <v>57</v>
      </c>
      <c r="K135" s="215" t="s">
        <v>58</v>
      </c>
      <c r="L135" s="215" t="s">
        <v>59</v>
      </c>
      <c r="M135" s="215" t="s">
        <v>60</v>
      </c>
      <c r="N135" s="215" t="s">
        <v>61</v>
      </c>
      <c r="O135" s="220" t="s">
        <v>62</v>
      </c>
      <c r="P135" s="221"/>
    </row>
    <row r="136" spans="2:16" x14ac:dyDescent="0.25">
      <c r="B136" s="214"/>
      <c r="C136" s="216"/>
      <c r="D136" s="216"/>
      <c r="E136" s="216"/>
      <c r="F136" s="216"/>
      <c r="G136" s="216"/>
      <c r="H136" s="216"/>
      <c r="I136" s="216"/>
      <c r="J136" s="216"/>
      <c r="K136" s="216"/>
      <c r="L136" s="216"/>
      <c r="M136" s="216"/>
      <c r="N136" s="216"/>
      <c r="O136" s="58" t="s">
        <v>64</v>
      </c>
      <c r="P136" s="58" t="s">
        <v>65</v>
      </c>
    </row>
    <row r="137" spans="2:16" x14ac:dyDescent="0.25">
      <c r="B137" s="34" t="s">
        <v>111</v>
      </c>
      <c r="C137" s="34"/>
      <c r="D137" s="34"/>
      <c r="E137" s="34"/>
      <c r="F137" s="34"/>
      <c r="G137" s="34"/>
      <c r="H137" s="34">
        <f>Emprunt!J14</f>
        <v>17000</v>
      </c>
      <c r="I137" s="34"/>
      <c r="J137" s="34"/>
      <c r="K137" s="34"/>
      <c r="L137" s="34"/>
      <c r="M137" s="34"/>
      <c r="N137" s="34"/>
      <c r="O137" s="60" t="s">
        <v>112</v>
      </c>
      <c r="P137" s="61">
        <f>SUM(C137:N137)</f>
        <v>17000</v>
      </c>
    </row>
    <row r="138" spans="2:16" x14ac:dyDescent="0.25">
      <c r="B138" s="34" t="s">
        <v>113</v>
      </c>
      <c r="C138" s="34">
        <f t="shared" ref="C138:N138" si="58">C137*20%</f>
        <v>0</v>
      </c>
      <c r="D138" s="34">
        <f t="shared" si="58"/>
        <v>0</v>
      </c>
      <c r="E138" s="34">
        <f t="shared" si="58"/>
        <v>0</v>
      </c>
      <c r="F138" s="34">
        <f t="shared" si="58"/>
        <v>0</v>
      </c>
      <c r="G138" s="34">
        <f t="shared" si="58"/>
        <v>0</v>
      </c>
      <c r="H138" s="34">
        <f t="shared" si="58"/>
        <v>3400</v>
      </c>
      <c r="I138" s="34">
        <f t="shared" si="58"/>
        <v>0</v>
      </c>
      <c r="J138" s="34">
        <f t="shared" si="58"/>
        <v>0</v>
      </c>
      <c r="K138" s="34">
        <f t="shared" si="58"/>
        <v>0</v>
      </c>
      <c r="L138" s="34">
        <f t="shared" si="58"/>
        <v>0</v>
      </c>
      <c r="M138" s="34">
        <f t="shared" si="58"/>
        <v>0</v>
      </c>
      <c r="N138" s="34">
        <f t="shared" si="58"/>
        <v>0</v>
      </c>
      <c r="O138" s="34"/>
      <c r="P138" s="34"/>
    </row>
    <row r="139" spans="2:16" x14ac:dyDescent="0.25">
      <c r="B139" s="34" t="s">
        <v>114</v>
      </c>
      <c r="C139" s="34">
        <f t="shared" ref="C139:N139" si="59">C137+C138</f>
        <v>0</v>
      </c>
      <c r="D139" s="34">
        <f t="shared" si="59"/>
        <v>0</v>
      </c>
      <c r="E139" s="34">
        <f t="shared" si="59"/>
        <v>0</v>
      </c>
      <c r="F139" s="34">
        <f t="shared" si="59"/>
        <v>0</v>
      </c>
      <c r="G139" s="34">
        <f t="shared" si="59"/>
        <v>0</v>
      </c>
      <c r="H139" s="34">
        <f t="shared" si="59"/>
        <v>20400</v>
      </c>
      <c r="I139" s="34">
        <f t="shared" si="59"/>
        <v>0</v>
      </c>
      <c r="J139" s="34">
        <f t="shared" si="59"/>
        <v>0</v>
      </c>
      <c r="K139" s="34">
        <f t="shared" si="59"/>
        <v>0</v>
      </c>
      <c r="L139" s="34">
        <f t="shared" si="59"/>
        <v>0</v>
      </c>
      <c r="M139" s="34">
        <f t="shared" si="59"/>
        <v>0</v>
      </c>
      <c r="N139" s="34">
        <f t="shared" si="59"/>
        <v>0</v>
      </c>
      <c r="O139" s="34"/>
      <c r="P139" s="34"/>
    </row>
    <row r="140" spans="2:16" x14ac:dyDescent="0.25">
      <c r="B140" s="59" t="s">
        <v>81</v>
      </c>
      <c r="C140" s="59">
        <f t="shared" ref="C140:N140" si="60">C139</f>
        <v>0</v>
      </c>
      <c r="D140" s="59">
        <f t="shared" si="60"/>
        <v>0</v>
      </c>
      <c r="E140" s="59">
        <f t="shared" si="60"/>
        <v>0</v>
      </c>
      <c r="F140" s="59">
        <f t="shared" si="60"/>
        <v>0</v>
      </c>
      <c r="G140" s="59">
        <f t="shared" si="60"/>
        <v>0</v>
      </c>
      <c r="H140" s="59">
        <f t="shared" si="60"/>
        <v>20400</v>
      </c>
      <c r="I140" s="59">
        <f t="shared" si="60"/>
        <v>0</v>
      </c>
      <c r="J140" s="59">
        <f t="shared" si="60"/>
        <v>0</v>
      </c>
      <c r="K140" s="59">
        <f t="shared" si="60"/>
        <v>0</v>
      </c>
      <c r="L140" s="59">
        <f t="shared" si="60"/>
        <v>0</v>
      </c>
      <c r="M140" s="59">
        <f t="shared" si="60"/>
        <v>0</v>
      </c>
      <c r="N140" s="59">
        <f t="shared" si="60"/>
        <v>0</v>
      </c>
      <c r="O140" s="60" t="s">
        <v>115</v>
      </c>
      <c r="P140" s="61">
        <v>0</v>
      </c>
    </row>
    <row r="141" spans="2:16" x14ac:dyDescent="0.25">
      <c r="C141" s="20" t="s">
        <v>149</v>
      </c>
    </row>
    <row r="143" spans="2:16" x14ac:dyDescent="0.25">
      <c r="B143" s="177" t="s">
        <v>150</v>
      </c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</row>
    <row r="144" spans="2:16" x14ac:dyDescent="0.25">
      <c r="B144" s="213"/>
      <c r="C144" s="215" t="s">
        <v>50</v>
      </c>
      <c r="D144" s="215" t="s">
        <v>51</v>
      </c>
      <c r="E144" s="215" t="s">
        <v>52</v>
      </c>
      <c r="F144" s="215" t="s">
        <v>53</v>
      </c>
      <c r="G144" s="215" t="s">
        <v>54</v>
      </c>
      <c r="H144" s="215" t="s">
        <v>55</v>
      </c>
      <c r="I144" s="215" t="s">
        <v>56</v>
      </c>
      <c r="J144" s="215" t="s">
        <v>57</v>
      </c>
      <c r="K144" s="215" t="s">
        <v>58</v>
      </c>
      <c r="L144" s="215" t="s">
        <v>59</v>
      </c>
      <c r="M144" s="215" t="s">
        <v>60</v>
      </c>
      <c r="N144" s="215" t="s">
        <v>61</v>
      </c>
      <c r="O144" s="220" t="s">
        <v>62</v>
      </c>
      <c r="P144" s="221"/>
    </row>
    <row r="145" spans="2:16" x14ac:dyDescent="0.25">
      <c r="B145" s="214"/>
      <c r="C145" s="216"/>
      <c r="D145" s="216"/>
      <c r="E145" s="216"/>
      <c r="F145" s="216"/>
      <c r="G145" s="216"/>
      <c r="H145" s="216"/>
      <c r="I145" s="216"/>
      <c r="J145" s="216"/>
      <c r="K145" s="216"/>
      <c r="L145" s="216"/>
      <c r="M145" s="216"/>
      <c r="N145" s="216"/>
      <c r="O145" s="58" t="s">
        <v>64</v>
      </c>
      <c r="P145" s="58" t="s">
        <v>65</v>
      </c>
    </row>
    <row r="146" spans="2:16" x14ac:dyDescent="0.25">
      <c r="B146" s="59" t="s">
        <v>68</v>
      </c>
      <c r="C146" s="59">
        <f t="shared" ref="C146:N146" si="61">C93</f>
        <v>1081.912</v>
      </c>
      <c r="D146" s="59">
        <f t="shared" si="61"/>
        <v>1081.912</v>
      </c>
      <c r="E146" s="59">
        <f t="shared" si="61"/>
        <v>1081.912</v>
      </c>
      <c r="F146" s="59">
        <f t="shared" si="61"/>
        <v>1081.912</v>
      </c>
      <c r="G146" s="59">
        <f t="shared" si="61"/>
        <v>1081.912</v>
      </c>
      <c r="H146" s="59">
        <f t="shared" si="61"/>
        <v>1081.912</v>
      </c>
      <c r="I146" s="59">
        <f t="shared" si="61"/>
        <v>1081.912</v>
      </c>
      <c r="J146" s="59">
        <f t="shared" si="61"/>
        <v>1081.912</v>
      </c>
      <c r="K146" s="59">
        <f t="shared" si="61"/>
        <v>1081.912</v>
      </c>
      <c r="L146" s="59">
        <f t="shared" si="61"/>
        <v>1081.912</v>
      </c>
      <c r="M146" s="59">
        <f t="shared" si="61"/>
        <v>1081.912</v>
      </c>
      <c r="N146" s="59">
        <f t="shared" si="61"/>
        <v>1081.912</v>
      </c>
      <c r="O146" s="34"/>
      <c r="P146" s="34"/>
    </row>
    <row r="147" spans="2:16" x14ac:dyDescent="0.25">
      <c r="B147" s="34" t="s">
        <v>79</v>
      </c>
      <c r="C147" s="34">
        <f t="shared" ref="C147:N147" si="62">C102</f>
        <v>346.21184000000005</v>
      </c>
      <c r="D147" s="34">
        <f t="shared" si="62"/>
        <v>346.21184000000005</v>
      </c>
      <c r="E147" s="34">
        <f t="shared" si="62"/>
        <v>346.21184000000005</v>
      </c>
      <c r="F147" s="34">
        <f t="shared" si="62"/>
        <v>346.21184000000005</v>
      </c>
      <c r="G147" s="34">
        <f t="shared" si="62"/>
        <v>346.21184000000005</v>
      </c>
      <c r="H147" s="34">
        <f t="shared" si="62"/>
        <v>346.21184000000005</v>
      </c>
      <c r="I147" s="34">
        <f t="shared" si="62"/>
        <v>346.21184000000005</v>
      </c>
      <c r="J147" s="34">
        <f t="shared" si="62"/>
        <v>346.21184000000005</v>
      </c>
      <c r="K147" s="34">
        <f t="shared" si="62"/>
        <v>346.21184000000005</v>
      </c>
      <c r="L147" s="34">
        <f t="shared" si="62"/>
        <v>346.21184000000005</v>
      </c>
      <c r="M147" s="34">
        <f t="shared" si="62"/>
        <v>346.21184000000005</v>
      </c>
      <c r="N147" s="34">
        <f t="shared" si="62"/>
        <v>346.21184000000005</v>
      </c>
      <c r="O147" s="34"/>
      <c r="P147" s="34"/>
    </row>
    <row r="148" spans="2:16" x14ac:dyDescent="0.25">
      <c r="B148" s="34" t="s">
        <v>86</v>
      </c>
      <c r="C148" s="34">
        <f t="shared" ref="C148:N148" si="63">C111</f>
        <v>1420</v>
      </c>
      <c r="D148" s="34">
        <f t="shared" si="63"/>
        <v>1420</v>
      </c>
      <c r="E148" s="34">
        <f t="shared" si="63"/>
        <v>1420</v>
      </c>
      <c r="F148" s="34">
        <f t="shared" si="63"/>
        <v>1420</v>
      </c>
      <c r="G148" s="34">
        <f t="shared" si="63"/>
        <v>1420</v>
      </c>
      <c r="H148" s="34">
        <f t="shared" si="63"/>
        <v>1420</v>
      </c>
      <c r="I148" s="34">
        <f t="shared" si="63"/>
        <v>1420</v>
      </c>
      <c r="J148" s="34">
        <f t="shared" si="63"/>
        <v>1420</v>
      </c>
      <c r="K148" s="34">
        <f t="shared" si="63"/>
        <v>1420</v>
      </c>
      <c r="L148" s="34">
        <f t="shared" si="63"/>
        <v>1420</v>
      </c>
      <c r="M148" s="34">
        <f t="shared" si="63"/>
        <v>1420</v>
      </c>
      <c r="N148" s="34">
        <f t="shared" si="63"/>
        <v>1420</v>
      </c>
      <c r="O148" s="34"/>
      <c r="P148" s="34"/>
    </row>
    <row r="149" spans="2:16" x14ac:dyDescent="0.25">
      <c r="B149" s="59" t="s">
        <v>113</v>
      </c>
      <c r="C149" s="59">
        <f t="shared" ref="C149:N149" si="64">C138</f>
        <v>0</v>
      </c>
      <c r="D149" s="59">
        <f t="shared" si="64"/>
        <v>0</v>
      </c>
      <c r="E149" s="59">
        <f t="shared" si="64"/>
        <v>0</v>
      </c>
      <c r="F149" s="59">
        <f t="shared" si="64"/>
        <v>0</v>
      </c>
      <c r="G149" s="59">
        <f t="shared" si="64"/>
        <v>0</v>
      </c>
      <c r="H149" s="59">
        <f t="shared" si="64"/>
        <v>3400</v>
      </c>
      <c r="I149" s="59">
        <f t="shared" si="64"/>
        <v>0</v>
      </c>
      <c r="J149" s="59">
        <f t="shared" si="64"/>
        <v>0</v>
      </c>
      <c r="K149" s="59">
        <f t="shared" si="64"/>
        <v>0</v>
      </c>
      <c r="L149" s="59">
        <f t="shared" si="64"/>
        <v>0</v>
      </c>
      <c r="M149" s="59">
        <f t="shared" si="64"/>
        <v>0</v>
      </c>
      <c r="N149" s="59">
        <f t="shared" si="64"/>
        <v>0</v>
      </c>
      <c r="O149" s="34"/>
      <c r="P149" s="34"/>
    </row>
    <row r="150" spans="2:16" x14ac:dyDescent="0.25">
      <c r="B150" s="114" t="s">
        <v>117</v>
      </c>
      <c r="C150" s="115">
        <f t="shared" ref="C150:N150" si="65">C147+C148+C149</f>
        <v>1766.2118399999999</v>
      </c>
      <c r="D150" s="115">
        <f t="shared" si="65"/>
        <v>1766.2118399999999</v>
      </c>
      <c r="E150" s="115">
        <f t="shared" si="65"/>
        <v>1766.2118399999999</v>
      </c>
      <c r="F150" s="115">
        <f t="shared" si="65"/>
        <v>1766.2118399999999</v>
      </c>
      <c r="G150" s="115">
        <f t="shared" si="65"/>
        <v>1766.2118399999999</v>
      </c>
      <c r="H150" s="115">
        <f t="shared" si="65"/>
        <v>5166.2118399999999</v>
      </c>
      <c r="I150" s="115">
        <f t="shared" si="65"/>
        <v>1766.2118399999999</v>
      </c>
      <c r="J150" s="115">
        <f t="shared" si="65"/>
        <v>1766.2118399999999</v>
      </c>
      <c r="K150" s="115">
        <f t="shared" si="65"/>
        <v>1766.2118399999999</v>
      </c>
      <c r="L150" s="115">
        <f t="shared" si="65"/>
        <v>1766.2118399999999</v>
      </c>
      <c r="M150" s="115">
        <f t="shared" si="65"/>
        <v>1766.2118399999999</v>
      </c>
      <c r="N150" s="115">
        <f t="shared" si="65"/>
        <v>1766.2118399999999</v>
      </c>
      <c r="O150" s="34"/>
      <c r="P150" s="34"/>
    </row>
    <row r="151" spans="2:16" x14ac:dyDescent="0.25">
      <c r="B151" s="116" t="s">
        <v>118</v>
      </c>
      <c r="C151" s="117">
        <f t="shared" ref="C151:N151" si="66">C146-C150</f>
        <v>-684.2998399999999</v>
      </c>
      <c r="D151" s="117">
        <f t="shared" si="66"/>
        <v>-684.2998399999999</v>
      </c>
      <c r="E151" s="117">
        <f t="shared" si="66"/>
        <v>-684.2998399999999</v>
      </c>
      <c r="F151" s="117">
        <f t="shared" si="66"/>
        <v>-684.2998399999999</v>
      </c>
      <c r="G151" s="117">
        <f t="shared" si="66"/>
        <v>-684.2998399999999</v>
      </c>
      <c r="H151" s="117">
        <f t="shared" si="66"/>
        <v>-4084.2998399999997</v>
      </c>
      <c r="I151" s="117">
        <f t="shared" si="66"/>
        <v>-684.2998399999999</v>
      </c>
      <c r="J151" s="117">
        <f t="shared" si="66"/>
        <v>-684.2998399999999</v>
      </c>
      <c r="K151" s="117">
        <f t="shared" si="66"/>
        <v>-684.2998399999999</v>
      </c>
      <c r="L151" s="117">
        <f t="shared" si="66"/>
        <v>-684.2998399999999</v>
      </c>
      <c r="M151" s="117">
        <f t="shared" si="66"/>
        <v>-684.2998399999999</v>
      </c>
      <c r="N151" s="117">
        <f t="shared" si="66"/>
        <v>-684.2998399999999</v>
      </c>
      <c r="O151" s="34"/>
      <c r="P151" s="34"/>
    </row>
    <row r="152" spans="2:16" x14ac:dyDescent="0.25">
      <c r="B152" s="59" t="s">
        <v>81</v>
      </c>
      <c r="C152" s="59">
        <f>P64</f>
        <v>-684.7199999999998</v>
      </c>
      <c r="D152" s="59">
        <f t="shared" ref="D152:N152" si="67">C151</f>
        <v>-684.2998399999999</v>
      </c>
      <c r="E152" s="59">
        <f t="shared" si="67"/>
        <v>-684.2998399999999</v>
      </c>
      <c r="F152" s="59">
        <f t="shared" si="67"/>
        <v>-684.2998399999999</v>
      </c>
      <c r="G152" s="59">
        <f t="shared" si="67"/>
        <v>-684.2998399999999</v>
      </c>
      <c r="H152" s="59">
        <f t="shared" si="67"/>
        <v>-684.2998399999999</v>
      </c>
      <c r="I152" s="59">
        <f t="shared" si="67"/>
        <v>-4084.2998399999997</v>
      </c>
      <c r="J152" s="59">
        <f t="shared" si="67"/>
        <v>-684.2998399999999</v>
      </c>
      <c r="K152" s="59">
        <f t="shared" si="67"/>
        <v>-684.2998399999999</v>
      </c>
      <c r="L152" s="59">
        <f t="shared" si="67"/>
        <v>-684.2998399999999</v>
      </c>
      <c r="M152" s="59">
        <f t="shared" si="67"/>
        <v>-684.2998399999999</v>
      </c>
      <c r="N152" s="59">
        <f t="shared" si="67"/>
        <v>-684.2998399999999</v>
      </c>
      <c r="O152" s="60" t="s">
        <v>119</v>
      </c>
      <c r="P152" s="61">
        <f>N151</f>
        <v>-684.2998399999999</v>
      </c>
    </row>
    <row r="155" spans="2:16" x14ac:dyDescent="0.25">
      <c r="B155" s="177" t="s">
        <v>151</v>
      </c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</row>
    <row r="156" spans="2:16" x14ac:dyDescent="0.25">
      <c r="B156" s="213"/>
      <c r="C156" s="215" t="s">
        <v>50</v>
      </c>
      <c r="D156" s="215" t="s">
        <v>51</v>
      </c>
      <c r="E156" s="215" t="s">
        <v>52</v>
      </c>
      <c r="F156" s="215" t="s">
        <v>53</v>
      </c>
      <c r="G156" s="215" t="s">
        <v>54</v>
      </c>
      <c r="H156" s="215" t="s">
        <v>55</v>
      </c>
      <c r="I156" s="215" t="s">
        <v>56</v>
      </c>
      <c r="J156" s="215" t="s">
        <v>57</v>
      </c>
      <c r="K156" s="215" t="s">
        <v>58</v>
      </c>
      <c r="L156" s="215" t="s">
        <v>59</v>
      </c>
      <c r="M156" s="215" t="s">
        <v>60</v>
      </c>
      <c r="N156" s="215" t="s">
        <v>61</v>
      </c>
      <c r="O156" s="220" t="s">
        <v>62</v>
      </c>
      <c r="P156" s="221"/>
    </row>
    <row r="157" spans="2:16" x14ac:dyDescent="0.25">
      <c r="B157" s="214"/>
      <c r="C157" s="216"/>
      <c r="D157" s="216"/>
      <c r="E157" s="216"/>
      <c r="F157" s="216"/>
      <c r="G157" s="216"/>
      <c r="H157" s="216"/>
      <c r="I157" s="216"/>
      <c r="J157" s="216"/>
      <c r="K157" s="216"/>
      <c r="L157" s="216"/>
      <c r="M157" s="216"/>
      <c r="N157" s="216"/>
      <c r="O157" s="58" t="s">
        <v>64</v>
      </c>
      <c r="P157" s="58" t="s">
        <v>65</v>
      </c>
    </row>
    <row r="158" spans="2:16" x14ac:dyDescent="0.25">
      <c r="B158" s="34" t="s">
        <v>121</v>
      </c>
      <c r="C158" s="34">
        <f t="shared" ref="C158:N158" si="68">C95</f>
        <v>6302.4</v>
      </c>
      <c r="D158" s="34">
        <f t="shared" si="68"/>
        <v>6491.4720000000007</v>
      </c>
      <c r="E158" s="34">
        <f t="shared" si="68"/>
        <v>6491.4720000000007</v>
      </c>
      <c r="F158" s="34">
        <f t="shared" si="68"/>
        <v>6491.4720000000007</v>
      </c>
      <c r="G158" s="34">
        <f t="shared" si="68"/>
        <v>6491.4720000000007</v>
      </c>
      <c r="H158" s="34">
        <f t="shared" si="68"/>
        <v>6491.4720000000007</v>
      </c>
      <c r="I158" s="34">
        <f t="shared" si="68"/>
        <v>6491.4720000000007</v>
      </c>
      <c r="J158" s="117">
        <f t="shared" si="68"/>
        <v>6491.4720000000007</v>
      </c>
      <c r="K158" s="34">
        <f t="shared" si="68"/>
        <v>6491.4720000000007</v>
      </c>
      <c r="L158" s="34">
        <f t="shared" si="68"/>
        <v>6491.4720000000007</v>
      </c>
      <c r="M158" s="34">
        <f t="shared" si="68"/>
        <v>6491.4720000000007</v>
      </c>
      <c r="N158" s="34">
        <f t="shared" si="68"/>
        <v>6491.4720000000007</v>
      </c>
      <c r="O158" s="34"/>
      <c r="P158" s="34"/>
    </row>
    <row r="159" spans="2:16" x14ac:dyDescent="0.25">
      <c r="B159" s="34" t="s">
        <v>122</v>
      </c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4"/>
      <c r="N159" s="34"/>
      <c r="O159" s="34"/>
      <c r="P159" s="34"/>
    </row>
    <row r="160" spans="2:16" x14ac:dyDescent="0.25">
      <c r="B160" s="59" t="s">
        <v>123</v>
      </c>
      <c r="C160" s="59">
        <f t="shared" ref="C160:N160" si="69">C159+C158</f>
        <v>6302.4</v>
      </c>
      <c r="D160" s="59">
        <f t="shared" si="69"/>
        <v>6491.4720000000007</v>
      </c>
      <c r="E160" s="59">
        <f t="shared" si="69"/>
        <v>6491.4720000000007</v>
      </c>
      <c r="F160" s="59">
        <f t="shared" si="69"/>
        <v>6491.4720000000007</v>
      </c>
      <c r="G160" s="59">
        <f t="shared" si="69"/>
        <v>6491.4720000000007</v>
      </c>
      <c r="H160" s="59">
        <f t="shared" si="69"/>
        <v>6491.4720000000007</v>
      </c>
      <c r="I160" s="59">
        <f t="shared" si="69"/>
        <v>6491.4720000000007</v>
      </c>
      <c r="J160" s="59">
        <f t="shared" si="69"/>
        <v>6491.4720000000007</v>
      </c>
      <c r="K160" s="59">
        <f t="shared" si="69"/>
        <v>6491.4720000000007</v>
      </c>
      <c r="L160" s="59">
        <f t="shared" si="69"/>
        <v>6491.4720000000007</v>
      </c>
      <c r="M160" s="59">
        <f t="shared" si="69"/>
        <v>6491.4720000000007</v>
      </c>
      <c r="N160" s="59">
        <f t="shared" si="69"/>
        <v>6491.4720000000007</v>
      </c>
      <c r="O160" s="34"/>
      <c r="P160" s="34"/>
    </row>
    <row r="161" spans="2:16" x14ac:dyDescent="0.25">
      <c r="B161" s="39" t="s">
        <v>124</v>
      </c>
      <c r="C161" s="41">
        <f t="shared" ref="C161:N161" si="70">C104</f>
        <v>2077.2710400000001</v>
      </c>
      <c r="D161" s="41">
        <f t="shared" si="70"/>
        <v>2077.2710400000001</v>
      </c>
      <c r="E161" s="41">
        <f t="shared" si="70"/>
        <v>2077.2710400000001</v>
      </c>
      <c r="F161" s="41">
        <f t="shared" si="70"/>
        <v>2077.2710400000001</v>
      </c>
      <c r="G161" s="41">
        <f t="shared" si="70"/>
        <v>2077.2710400000001</v>
      </c>
      <c r="H161" s="41">
        <f t="shared" si="70"/>
        <v>2077.2710400000001</v>
      </c>
      <c r="I161" s="41">
        <f t="shared" si="70"/>
        <v>2077.2710400000001</v>
      </c>
      <c r="J161" s="41">
        <f t="shared" si="70"/>
        <v>2077.2710400000001</v>
      </c>
      <c r="K161" s="41">
        <f t="shared" si="70"/>
        <v>2077.2710400000001</v>
      </c>
      <c r="L161" s="41">
        <f t="shared" si="70"/>
        <v>2077.2710400000001</v>
      </c>
      <c r="M161" s="41">
        <f t="shared" si="70"/>
        <v>2077.2710400000001</v>
      </c>
      <c r="N161" s="41">
        <f t="shared" si="70"/>
        <v>2077.2710400000001</v>
      </c>
      <c r="O161" s="34"/>
      <c r="P161" s="34"/>
    </row>
    <row r="162" spans="2:16" x14ac:dyDescent="0.25">
      <c r="B162" s="35" t="s">
        <v>125</v>
      </c>
      <c r="C162" s="35"/>
      <c r="D162" s="35"/>
      <c r="E162" s="35"/>
      <c r="F162" s="35"/>
      <c r="G162" s="35"/>
      <c r="H162" s="35"/>
      <c r="I162" s="35"/>
      <c r="J162" s="35"/>
      <c r="K162" s="35"/>
      <c r="L162" s="35"/>
      <c r="M162" s="35"/>
      <c r="N162" s="35"/>
      <c r="O162" s="34"/>
      <c r="P162" s="34"/>
    </row>
    <row r="163" spans="2:16" x14ac:dyDescent="0.25">
      <c r="B163" s="39" t="s">
        <v>126</v>
      </c>
      <c r="C163" s="41">
        <f t="shared" ref="C163:N163" si="71">C119</f>
        <v>25625</v>
      </c>
      <c r="D163" s="41">
        <f t="shared" si="71"/>
        <v>25625</v>
      </c>
      <c r="E163" s="41">
        <f t="shared" si="71"/>
        <v>25625</v>
      </c>
      <c r="F163" s="41">
        <f t="shared" si="71"/>
        <v>25625</v>
      </c>
      <c r="G163" s="41">
        <f t="shared" si="71"/>
        <v>25625</v>
      </c>
      <c r="H163" s="41">
        <f t="shared" si="71"/>
        <v>25625</v>
      </c>
      <c r="I163" s="41">
        <f t="shared" si="71"/>
        <v>25625</v>
      </c>
      <c r="J163" s="41">
        <f t="shared" si="71"/>
        <v>25625</v>
      </c>
      <c r="K163" s="41">
        <f t="shared" si="71"/>
        <v>25625</v>
      </c>
      <c r="L163" s="41">
        <f t="shared" si="71"/>
        <v>25625</v>
      </c>
      <c r="M163" s="41">
        <f t="shared" si="71"/>
        <v>25625</v>
      </c>
      <c r="N163" s="41">
        <f t="shared" si="71"/>
        <v>25625</v>
      </c>
      <c r="O163" s="34"/>
      <c r="P163" s="34"/>
    </row>
    <row r="164" spans="2:16" x14ac:dyDescent="0.25">
      <c r="B164" s="35" t="s">
        <v>21</v>
      </c>
      <c r="C164" s="35">
        <f t="shared" ref="C164:N164" si="72">C121</f>
        <v>10250</v>
      </c>
      <c r="D164" s="35">
        <f t="shared" si="72"/>
        <v>10250</v>
      </c>
      <c r="E164" s="35">
        <f t="shared" si="72"/>
        <v>10250</v>
      </c>
      <c r="F164" s="35">
        <f t="shared" si="72"/>
        <v>10250</v>
      </c>
      <c r="G164" s="35">
        <f t="shared" si="72"/>
        <v>10250</v>
      </c>
      <c r="H164" s="35">
        <f t="shared" si="72"/>
        <v>10250</v>
      </c>
      <c r="I164" s="35">
        <f t="shared" si="72"/>
        <v>10250</v>
      </c>
      <c r="J164" s="35">
        <f t="shared" si="72"/>
        <v>10250</v>
      </c>
      <c r="K164" s="35">
        <f t="shared" si="72"/>
        <v>10250</v>
      </c>
      <c r="L164" s="35">
        <f t="shared" si="72"/>
        <v>10250</v>
      </c>
      <c r="M164" s="35">
        <f t="shared" si="72"/>
        <v>10250</v>
      </c>
      <c r="N164" s="35">
        <f t="shared" si="72"/>
        <v>10250</v>
      </c>
      <c r="O164" s="34"/>
      <c r="P164" s="34"/>
    </row>
    <row r="165" spans="2:16" x14ac:dyDescent="0.25">
      <c r="B165" s="39" t="s">
        <v>102</v>
      </c>
      <c r="C165" s="41">
        <f t="shared" ref="C165:N165" si="73">C128</f>
        <v>0</v>
      </c>
      <c r="D165" s="41">
        <f t="shared" si="73"/>
        <v>0</v>
      </c>
      <c r="E165" s="41">
        <f t="shared" si="73"/>
        <v>0</v>
      </c>
      <c r="F165" s="41">
        <f t="shared" si="73"/>
        <v>0</v>
      </c>
      <c r="G165" s="41">
        <f t="shared" si="73"/>
        <v>0</v>
      </c>
      <c r="H165" s="41">
        <f t="shared" si="73"/>
        <v>0</v>
      </c>
      <c r="I165" s="41">
        <f t="shared" si="73"/>
        <v>0</v>
      </c>
      <c r="J165" s="41">
        <f t="shared" si="73"/>
        <v>0</v>
      </c>
      <c r="K165" s="41">
        <f t="shared" si="73"/>
        <v>0</v>
      </c>
      <c r="L165" s="41">
        <f t="shared" si="73"/>
        <v>8200</v>
      </c>
      <c r="M165" s="41">
        <f t="shared" si="73"/>
        <v>0</v>
      </c>
      <c r="N165" s="41">
        <f t="shared" si="73"/>
        <v>0</v>
      </c>
      <c r="O165" s="34"/>
      <c r="P165" s="34"/>
    </row>
    <row r="166" spans="2:16" x14ac:dyDescent="0.25">
      <c r="B166" s="35" t="s">
        <v>127</v>
      </c>
      <c r="C166" s="35">
        <f t="shared" ref="C166:N166" si="74">C113</f>
        <v>8520</v>
      </c>
      <c r="D166" s="35">
        <f t="shared" si="74"/>
        <v>8520</v>
      </c>
      <c r="E166" s="35">
        <f t="shared" si="74"/>
        <v>8520</v>
      </c>
      <c r="F166" s="35">
        <f t="shared" si="74"/>
        <v>8520</v>
      </c>
      <c r="G166" s="35">
        <f t="shared" si="74"/>
        <v>8520</v>
      </c>
      <c r="H166" s="35">
        <f t="shared" si="74"/>
        <v>8520</v>
      </c>
      <c r="I166" s="35">
        <f t="shared" si="74"/>
        <v>8520</v>
      </c>
      <c r="J166" s="35">
        <f t="shared" si="74"/>
        <v>8520</v>
      </c>
      <c r="K166" s="35">
        <f t="shared" si="74"/>
        <v>8520</v>
      </c>
      <c r="L166" s="35">
        <f t="shared" si="74"/>
        <v>8520</v>
      </c>
      <c r="M166" s="35">
        <f t="shared" si="74"/>
        <v>8520</v>
      </c>
      <c r="N166" s="35">
        <f t="shared" si="74"/>
        <v>8520</v>
      </c>
      <c r="O166" s="34"/>
      <c r="P166" s="34"/>
    </row>
    <row r="167" spans="2:16" x14ac:dyDescent="0.25">
      <c r="B167" s="39" t="s">
        <v>128</v>
      </c>
      <c r="C167" s="41">
        <f t="shared" ref="C167:N167" si="75">C131</f>
        <v>2762.5</v>
      </c>
      <c r="D167" s="41">
        <f t="shared" si="75"/>
        <v>2762.5</v>
      </c>
      <c r="E167" s="41">
        <f t="shared" si="75"/>
        <v>2762.5</v>
      </c>
      <c r="F167" s="41">
        <f t="shared" si="75"/>
        <v>2762.5</v>
      </c>
      <c r="G167" s="41">
        <f t="shared" si="75"/>
        <v>2762.5</v>
      </c>
      <c r="H167" s="41">
        <f t="shared" si="75"/>
        <v>2762.5</v>
      </c>
      <c r="I167" s="41">
        <f t="shared" si="75"/>
        <v>2762.5</v>
      </c>
      <c r="J167" s="41">
        <f t="shared" si="75"/>
        <v>2762.5</v>
      </c>
      <c r="K167" s="41">
        <f t="shared" si="75"/>
        <v>2762.5</v>
      </c>
      <c r="L167" s="41">
        <f t="shared" si="75"/>
        <v>2762.5</v>
      </c>
      <c r="M167" s="41">
        <f t="shared" si="75"/>
        <v>2762.5</v>
      </c>
      <c r="N167" s="41">
        <f t="shared" si="75"/>
        <v>2762.5</v>
      </c>
      <c r="O167" s="34"/>
      <c r="P167" s="34"/>
    </row>
    <row r="168" spans="2:16" x14ac:dyDescent="0.25">
      <c r="B168" s="35" t="s">
        <v>129</v>
      </c>
      <c r="C168" s="35">
        <f t="shared" ref="C168:N168" si="76">C139</f>
        <v>0</v>
      </c>
      <c r="D168" s="35">
        <f t="shared" si="76"/>
        <v>0</v>
      </c>
      <c r="E168" s="35">
        <f t="shared" si="76"/>
        <v>0</v>
      </c>
      <c r="F168" s="35">
        <f t="shared" si="76"/>
        <v>0</v>
      </c>
      <c r="G168" s="35">
        <f t="shared" si="76"/>
        <v>0</v>
      </c>
      <c r="H168" s="35">
        <f t="shared" si="76"/>
        <v>20400</v>
      </c>
      <c r="I168" s="35">
        <f t="shared" si="76"/>
        <v>0</v>
      </c>
      <c r="J168" s="35">
        <f t="shared" si="76"/>
        <v>0</v>
      </c>
      <c r="K168" s="35">
        <f t="shared" si="76"/>
        <v>0</v>
      </c>
      <c r="L168" s="35">
        <f t="shared" si="76"/>
        <v>0</v>
      </c>
      <c r="M168" s="35">
        <f t="shared" si="76"/>
        <v>0</v>
      </c>
      <c r="N168" s="35">
        <f t="shared" si="76"/>
        <v>0</v>
      </c>
      <c r="O168" s="34"/>
      <c r="P168" s="34"/>
    </row>
    <row r="169" spans="2:16" x14ac:dyDescent="0.25">
      <c r="B169" s="39" t="s">
        <v>130</v>
      </c>
      <c r="C169" s="41">
        <f t="shared" ref="C169:N169" si="77">C152</f>
        <v>-684.7199999999998</v>
      </c>
      <c r="D169" s="41">
        <f t="shared" si="77"/>
        <v>-684.2998399999999</v>
      </c>
      <c r="E169" s="41">
        <f t="shared" si="77"/>
        <v>-684.2998399999999</v>
      </c>
      <c r="F169" s="41">
        <f t="shared" si="77"/>
        <v>-684.2998399999999</v>
      </c>
      <c r="G169" s="41">
        <f t="shared" si="77"/>
        <v>-684.2998399999999</v>
      </c>
      <c r="H169" s="41">
        <f t="shared" si="77"/>
        <v>-684.2998399999999</v>
      </c>
      <c r="I169" s="41">
        <f t="shared" si="77"/>
        <v>-4084.2998399999997</v>
      </c>
      <c r="J169" s="41">
        <f t="shared" si="77"/>
        <v>-684.2998399999999</v>
      </c>
      <c r="K169" s="41">
        <f t="shared" si="77"/>
        <v>-684.2998399999999</v>
      </c>
      <c r="L169" s="41">
        <f t="shared" si="77"/>
        <v>-684.2998399999999</v>
      </c>
      <c r="M169" s="41">
        <f t="shared" si="77"/>
        <v>-684.2998399999999</v>
      </c>
      <c r="N169" s="41">
        <f t="shared" si="77"/>
        <v>-684.2998399999999</v>
      </c>
      <c r="O169" s="34"/>
      <c r="P169" s="34"/>
    </row>
    <row r="170" spans="2:16" x14ac:dyDescent="0.25">
      <c r="B170" s="59" t="s">
        <v>131</v>
      </c>
      <c r="C170" s="59">
        <f t="shared" ref="C170:N170" si="78">SUM(C161:C169)</f>
        <v>48550.051039999998</v>
      </c>
      <c r="D170" s="59">
        <f t="shared" si="78"/>
        <v>48550.4712</v>
      </c>
      <c r="E170" s="59">
        <f t="shared" si="78"/>
        <v>48550.4712</v>
      </c>
      <c r="F170" s="59">
        <f t="shared" si="78"/>
        <v>48550.4712</v>
      </c>
      <c r="G170" s="59">
        <f t="shared" si="78"/>
        <v>48550.4712</v>
      </c>
      <c r="H170" s="59">
        <f t="shared" si="78"/>
        <v>68950.471199999985</v>
      </c>
      <c r="I170" s="59">
        <f t="shared" si="78"/>
        <v>45150.4712</v>
      </c>
      <c r="J170" s="59">
        <f t="shared" si="78"/>
        <v>48550.4712</v>
      </c>
      <c r="K170" s="59">
        <f t="shared" si="78"/>
        <v>48550.4712</v>
      </c>
      <c r="L170" s="59">
        <f t="shared" si="78"/>
        <v>56750.4712</v>
      </c>
      <c r="M170" s="59">
        <f t="shared" si="78"/>
        <v>48550.4712</v>
      </c>
      <c r="N170" s="59">
        <f t="shared" si="78"/>
        <v>48550.4712</v>
      </c>
      <c r="O170" s="34"/>
      <c r="P170" s="34"/>
    </row>
    <row r="171" spans="2:16" x14ac:dyDescent="0.25">
      <c r="B171" s="59" t="s">
        <v>132</v>
      </c>
      <c r="C171" s="59">
        <f>P85</f>
        <v>-506370.31999999989</v>
      </c>
      <c r="D171" s="59">
        <f t="shared" ref="D171:N171" si="79">C173</f>
        <v>-548617.97103999986</v>
      </c>
      <c r="E171" s="59">
        <f t="shared" si="79"/>
        <v>-590676.97023999982</v>
      </c>
      <c r="F171" s="59">
        <f t="shared" si="79"/>
        <v>-632735.96943999978</v>
      </c>
      <c r="G171" s="59">
        <f t="shared" si="79"/>
        <v>-674794.96863999974</v>
      </c>
      <c r="H171" s="59">
        <f t="shared" si="79"/>
        <v>-716853.96783999971</v>
      </c>
      <c r="I171" s="59">
        <f t="shared" si="79"/>
        <v>-779312.96703999967</v>
      </c>
      <c r="J171" s="59">
        <f t="shared" si="79"/>
        <v>-817971.96623999963</v>
      </c>
      <c r="K171" s="59">
        <f t="shared" si="79"/>
        <v>-860030.96543999959</v>
      </c>
      <c r="L171" s="59">
        <f t="shared" si="79"/>
        <v>-902089.96463999955</v>
      </c>
      <c r="M171" s="59">
        <f t="shared" si="79"/>
        <v>-952348.96383999952</v>
      </c>
      <c r="N171" s="59">
        <f t="shared" si="79"/>
        <v>-994407.96303999948</v>
      </c>
      <c r="O171" s="34"/>
      <c r="P171" s="34"/>
    </row>
    <row r="172" spans="2:16" x14ac:dyDescent="0.25">
      <c r="B172" s="34" t="s">
        <v>133</v>
      </c>
      <c r="C172" s="34">
        <f t="shared" ref="C172:N172" si="80">C160-C170</f>
        <v>-42247.651039999997</v>
      </c>
      <c r="D172" s="34">
        <f t="shared" si="80"/>
        <v>-42058.999199999998</v>
      </c>
      <c r="E172" s="34">
        <f t="shared" si="80"/>
        <v>-42058.999199999998</v>
      </c>
      <c r="F172" s="34">
        <f t="shared" si="80"/>
        <v>-42058.999199999998</v>
      </c>
      <c r="G172" s="34">
        <f t="shared" si="80"/>
        <v>-42058.999199999998</v>
      </c>
      <c r="H172" s="34">
        <f t="shared" si="80"/>
        <v>-62458.999199999984</v>
      </c>
      <c r="I172" s="34">
        <f t="shared" si="80"/>
        <v>-38658.999199999998</v>
      </c>
      <c r="J172" s="34">
        <f t="shared" si="80"/>
        <v>-42058.999199999998</v>
      </c>
      <c r="K172" s="34">
        <f t="shared" si="80"/>
        <v>-42058.999199999998</v>
      </c>
      <c r="L172" s="34">
        <f t="shared" si="80"/>
        <v>-50258.999199999998</v>
      </c>
      <c r="M172" s="34">
        <f t="shared" si="80"/>
        <v>-42058.999199999998</v>
      </c>
      <c r="N172" s="34">
        <f t="shared" si="80"/>
        <v>-42058.999199999998</v>
      </c>
      <c r="O172" s="34"/>
      <c r="P172" s="34"/>
    </row>
    <row r="173" spans="2:16" x14ac:dyDescent="0.25">
      <c r="B173" s="59" t="s">
        <v>134</v>
      </c>
      <c r="C173" s="59">
        <f t="shared" ref="C173:N173" si="81">C171+C172</f>
        <v>-548617.97103999986</v>
      </c>
      <c r="D173" s="59">
        <f t="shared" si="81"/>
        <v>-590676.97023999982</v>
      </c>
      <c r="E173" s="59">
        <f t="shared" si="81"/>
        <v>-632735.96943999978</v>
      </c>
      <c r="F173" s="59">
        <f t="shared" si="81"/>
        <v>-674794.96863999974</v>
      </c>
      <c r="G173" s="59">
        <f t="shared" si="81"/>
        <v>-716853.96783999971</v>
      </c>
      <c r="H173" s="59">
        <f t="shared" si="81"/>
        <v>-779312.96703999967</v>
      </c>
      <c r="I173" s="59">
        <f t="shared" si="81"/>
        <v>-817971.96623999963</v>
      </c>
      <c r="J173" s="59">
        <f t="shared" si="81"/>
        <v>-860030.96543999959</v>
      </c>
      <c r="K173" s="59">
        <f t="shared" si="81"/>
        <v>-902089.96463999955</v>
      </c>
      <c r="L173" s="59">
        <f t="shared" si="81"/>
        <v>-952348.96383999952</v>
      </c>
      <c r="M173" s="59">
        <f t="shared" si="81"/>
        <v>-994407.96303999948</v>
      </c>
      <c r="N173" s="59">
        <f t="shared" si="81"/>
        <v>-1036466.9622399994</v>
      </c>
      <c r="O173" s="60" t="s">
        <v>135</v>
      </c>
      <c r="P173" s="61">
        <f>N173</f>
        <v>-1036466.9622399994</v>
      </c>
    </row>
    <row r="175" spans="2:16" ht="15" customHeight="1" x14ac:dyDescent="0.45">
      <c r="B175" s="212" t="s">
        <v>152</v>
      </c>
      <c r="C175" s="212"/>
      <c r="D175" s="212"/>
      <c r="E175" s="212"/>
      <c r="F175" s="212"/>
      <c r="G175" s="212"/>
      <c r="H175" s="212"/>
      <c r="I175" s="212"/>
      <c r="J175" s="212"/>
      <c r="K175" s="212"/>
      <c r="L175" s="212"/>
      <c r="M175" s="212"/>
      <c r="N175" s="212"/>
      <c r="O175" s="212"/>
      <c r="P175" s="212"/>
    </row>
    <row r="177" spans="2:20" x14ac:dyDescent="0.25">
      <c r="B177" s="218" t="s">
        <v>153</v>
      </c>
      <c r="C177" s="218"/>
      <c r="D177" s="218"/>
      <c r="E177" s="218"/>
      <c r="F177" s="218"/>
      <c r="G177" s="218"/>
      <c r="H177" s="218"/>
      <c r="I177" s="218"/>
      <c r="J177" s="218"/>
      <c r="K177" s="218"/>
      <c r="L177" s="218"/>
      <c r="M177" s="218"/>
      <c r="N177" s="218"/>
      <c r="O177" s="218"/>
      <c r="P177" s="218"/>
    </row>
    <row r="178" spans="2:20" x14ac:dyDescent="0.25">
      <c r="B178" s="213"/>
      <c r="C178" s="215" t="s">
        <v>50</v>
      </c>
      <c r="D178" s="215" t="s">
        <v>51</v>
      </c>
      <c r="E178" s="215" t="s">
        <v>52</v>
      </c>
      <c r="F178" s="215" t="s">
        <v>53</v>
      </c>
      <c r="G178" s="215" t="s">
        <v>54</v>
      </c>
      <c r="H178" s="215" t="s">
        <v>55</v>
      </c>
      <c r="I178" s="215" t="s">
        <v>56</v>
      </c>
      <c r="J178" s="215" t="s">
        <v>57</v>
      </c>
      <c r="K178" s="215" t="s">
        <v>58</v>
      </c>
      <c r="L178" s="215" t="s">
        <v>59</v>
      </c>
      <c r="M178" s="215" t="s">
        <v>60</v>
      </c>
      <c r="N178" s="215" t="s">
        <v>61</v>
      </c>
      <c r="O178" s="220" t="s">
        <v>62</v>
      </c>
      <c r="P178" s="221"/>
      <c r="S178" s="228" t="s">
        <v>154</v>
      </c>
      <c r="T178" s="229"/>
    </row>
    <row r="179" spans="2:20" x14ac:dyDescent="0.25">
      <c r="B179" s="214"/>
      <c r="C179" s="216"/>
      <c r="D179" s="216"/>
      <c r="E179" s="216"/>
      <c r="F179" s="216"/>
      <c r="G179" s="216"/>
      <c r="H179" s="216"/>
      <c r="I179" s="216"/>
      <c r="J179" s="216"/>
      <c r="K179" s="216"/>
      <c r="L179" s="216"/>
      <c r="M179" s="216"/>
      <c r="N179" s="216"/>
      <c r="O179" s="58" t="s">
        <v>64</v>
      </c>
      <c r="P179" s="58" t="s">
        <v>65</v>
      </c>
      <c r="S179" s="143" t="s">
        <v>1</v>
      </c>
      <c r="T179" s="21">
        <f>P180</f>
        <v>66862.161599999992</v>
      </c>
    </row>
    <row r="180" spans="2:20" x14ac:dyDescent="0.25">
      <c r="B180" s="35" t="s">
        <v>66</v>
      </c>
      <c r="C180" s="35">
        <f>$P$92*1.03/12</f>
        <v>5571.8467999999993</v>
      </c>
      <c r="D180" s="35">
        <f t="shared" ref="D180:N180" si="82">$P$92*1.03/12</f>
        <v>5571.8467999999993</v>
      </c>
      <c r="E180" s="35">
        <f t="shared" si="82"/>
        <v>5571.8467999999993</v>
      </c>
      <c r="F180" s="35">
        <f t="shared" si="82"/>
        <v>5571.8467999999993</v>
      </c>
      <c r="G180" s="35">
        <f t="shared" si="82"/>
        <v>5571.8467999999993</v>
      </c>
      <c r="H180" s="35">
        <f t="shared" si="82"/>
        <v>5571.8467999999993</v>
      </c>
      <c r="I180" s="35">
        <f t="shared" si="82"/>
        <v>5571.8467999999993</v>
      </c>
      <c r="J180" s="35">
        <f t="shared" si="82"/>
        <v>5571.8467999999993</v>
      </c>
      <c r="K180" s="35">
        <f t="shared" si="82"/>
        <v>5571.8467999999993</v>
      </c>
      <c r="L180" s="35">
        <f t="shared" si="82"/>
        <v>5571.8467999999993</v>
      </c>
      <c r="M180" s="35">
        <f t="shared" si="82"/>
        <v>5571.8467999999993</v>
      </c>
      <c r="N180" s="35">
        <f t="shared" si="82"/>
        <v>5571.8467999999993</v>
      </c>
      <c r="O180" s="60" t="s">
        <v>1</v>
      </c>
      <c r="P180" s="61">
        <f>SUM(C180:N180)</f>
        <v>66862.161599999992</v>
      </c>
      <c r="S180" s="143" t="s">
        <v>67</v>
      </c>
      <c r="T180" s="21">
        <v>0</v>
      </c>
    </row>
    <row r="181" spans="2:20" x14ac:dyDescent="0.25">
      <c r="B181" s="34" t="s">
        <v>68</v>
      </c>
      <c r="C181" s="34">
        <f>C180*20%</f>
        <v>1114.3693599999999</v>
      </c>
      <c r="D181" s="34">
        <f t="shared" ref="D181:N181" si="83">D180*20%</f>
        <v>1114.3693599999999</v>
      </c>
      <c r="E181" s="34">
        <f t="shared" si="83"/>
        <v>1114.3693599999999</v>
      </c>
      <c r="F181" s="34">
        <f t="shared" si="83"/>
        <v>1114.3693599999999</v>
      </c>
      <c r="G181" s="34">
        <f t="shared" si="83"/>
        <v>1114.3693599999999</v>
      </c>
      <c r="H181" s="34">
        <f t="shared" si="83"/>
        <v>1114.3693599999999</v>
      </c>
      <c r="I181" s="34">
        <f t="shared" si="83"/>
        <v>1114.3693599999999</v>
      </c>
      <c r="J181" s="34">
        <f t="shared" si="83"/>
        <v>1114.3693599999999</v>
      </c>
      <c r="K181" s="34">
        <f t="shared" si="83"/>
        <v>1114.3693599999999</v>
      </c>
      <c r="L181" s="34">
        <f t="shared" si="83"/>
        <v>1114.3693599999999</v>
      </c>
      <c r="M181" s="34">
        <f t="shared" si="83"/>
        <v>1114.3693599999999</v>
      </c>
      <c r="N181" s="34">
        <f t="shared" si="83"/>
        <v>1114.3693599999999</v>
      </c>
      <c r="O181" s="34"/>
      <c r="P181" s="34"/>
      <c r="S181" s="144" t="s">
        <v>10</v>
      </c>
      <c r="T181" s="131">
        <f>T179+T180</f>
        <v>66862.161599999992</v>
      </c>
    </row>
    <row r="182" spans="2:20" x14ac:dyDescent="0.25">
      <c r="B182" s="34" t="s">
        <v>69</v>
      </c>
      <c r="C182" s="34">
        <f>C180+C181</f>
        <v>6686.216159999999</v>
      </c>
      <c r="D182" s="34">
        <f t="shared" ref="D182:N182" si="84">D180+D181</f>
        <v>6686.216159999999</v>
      </c>
      <c r="E182" s="34">
        <f t="shared" si="84"/>
        <v>6686.216159999999</v>
      </c>
      <c r="F182" s="34">
        <f t="shared" si="84"/>
        <v>6686.216159999999</v>
      </c>
      <c r="G182" s="34">
        <f t="shared" si="84"/>
        <v>6686.216159999999</v>
      </c>
      <c r="H182" s="34">
        <f t="shared" si="84"/>
        <v>6686.216159999999</v>
      </c>
      <c r="I182" s="34">
        <f t="shared" si="84"/>
        <v>6686.216159999999</v>
      </c>
      <c r="J182" s="34">
        <f t="shared" si="84"/>
        <v>6686.216159999999</v>
      </c>
      <c r="K182" s="34">
        <f t="shared" si="84"/>
        <v>6686.216159999999</v>
      </c>
      <c r="L182" s="34">
        <f t="shared" si="84"/>
        <v>6686.216159999999</v>
      </c>
      <c r="M182" s="34">
        <f t="shared" si="84"/>
        <v>6686.216159999999</v>
      </c>
      <c r="N182" s="34">
        <f t="shared" si="84"/>
        <v>6686.216159999999</v>
      </c>
      <c r="O182" s="34"/>
      <c r="P182" s="34"/>
      <c r="S182" s="143" t="s">
        <v>70</v>
      </c>
      <c r="T182" s="21">
        <f>P189</f>
        <v>22733.134943999994</v>
      </c>
    </row>
    <row r="183" spans="2:20" x14ac:dyDescent="0.25">
      <c r="B183" s="59" t="s">
        <v>139</v>
      </c>
      <c r="C183" s="59">
        <f>V122</f>
        <v>6491.4720000000007</v>
      </c>
      <c r="D183" s="59">
        <f>C182</f>
        <v>6686.216159999999</v>
      </c>
      <c r="E183" s="59">
        <f>D182</f>
        <v>6686.216159999999</v>
      </c>
      <c r="F183" s="59">
        <f>E182</f>
        <v>6686.216159999999</v>
      </c>
      <c r="G183" s="59">
        <f>F182</f>
        <v>6686.216159999999</v>
      </c>
      <c r="H183" s="59">
        <f>G182</f>
        <v>6686.216159999999</v>
      </c>
      <c r="I183" s="59">
        <f t="shared" ref="I183:N183" si="85">H182</f>
        <v>6686.216159999999</v>
      </c>
      <c r="J183" s="59">
        <f t="shared" si="85"/>
        <v>6686.216159999999</v>
      </c>
      <c r="K183" s="59">
        <f t="shared" si="85"/>
        <v>6686.216159999999</v>
      </c>
      <c r="L183" s="59">
        <f t="shared" si="85"/>
        <v>6686.216159999999</v>
      </c>
      <c r="M183" s="59">
        <f t="shared" si="85"/>
        <v>6686.216159999999</v>
      </c>
      <c r="N183" s="59">
        <f t="shared" si="85"/>
        <v>6686.216159999999</v>
      </c>
      <c r="O183" s="60" t="s">
        <v>72</v>
      </c>
      <c r="P183" s="61">
        <f>N182</f>
        <v>6686.216159999999</v>
      </c>
      <c r="S183" s="143" t="s">
        <v>73</v>
      </c>
      <c r="T183" s="21">
        <f>P198</f>
        <v>85200</v>
      </c>
    </row>
    <row r="184" spans="2:20" x14ac:dyDescent="0.25">
      <c r="S184" s="143" t="s">
        <v>18</v>
      </c>
      <c r="T184" s="21">
        <f>P216</f>
        <v>8200</v>
      </c>
    </row>
    <row r="185" spans="2:20" x14ac:dyDescent="0.25">
      <c r="S185" s="143" t="s">
        <v>20</v>
      </c>
      <c r="T185" s="21">
        <f>P208</f>
        <v>307500</v>
      </c>
    </row>
    <row r="186" spans="2:20" x14ac:dyDescent="0.25">
      <c r="B186" s="230" t="s">
        <v>155</v>
      </c>
      <c r="C186" s="230"/>
      <c r="D186" s="230"/>
      <c r="E186" s="230"/>
      <c r="F186" s="230"/>
      <c r="G186" s="230"/>
      <c r="H186" s="230"/>
      <c r="I186" s="230"/>
      <c r="J186" s="230"/>
      <c r="K186" s="230"/>
      <c r="L186" s="230"/>
      <c r="M186" s="230"/>
      <c r="N186" s="230"/>
      <c r="O186" s="230"/>
      <c r="P186" s="230"/>
      <c r="S186" s="143" t="s">
        <v>21</v>
      </c>
      <c r="T186" s="21">
        <f>P209</f>
        <v>123000</v>
      </c>
    </row>
    <row r="187" spans="2:20" x14ac:dyDescent="0.25">
      <c r="B187" s="213"/>
      <c r="C187" s="215" t="s">
        <v>50</v>
      </c>
      <c r="D187" s="215" t="s">
        <v>51</v>
      </c>
      <c r="E187" s="215" t="s">
        <v>52</v>
      </c>
      <c r="F187" s="215" t="s">
        <v>53</v>
      </c>
      <c r="G187" s="215" t="s">
        <v>54</v>
      </c>
      <c r="H187" s="215" t="s">
        <v>55</v>
      </c>
      <c r="I187" s="215" t="s">
        <v>56</v>
      </c>
      <c r="J187" s="215" t="s">
        <v>57</v>
      </c>
      <c r="K187" s="215" t="s">
        <v>58</v>
      </c>
      <c r="L187" s="215" t="s">
        <v>59</v>
      </c>
      <c r="M187" s="215" t="s">
        <v>60</v>
      </c>
      <c r="N187" s="215" t="s">
        <v>61</v>
      </c>
      <c r="O187" s="220" t="s">
        <v>62</v>
      </c>
      <c r="P187" s="221"/>
      <c r="S187" s="143" t="s">
        <v>75</v>
      </c>
      <c r="T187" s="21">
        <f>P206</f>
        <v>15614.285714285714</v>
      </c>
    </row>
    <row r="188" spans="2:20" x14ac:dyDescent="0.25">
      <c r="B188" s="214"/>
      <c r="C188" s="216"/>
      <c r="D188" s="216"/>
      <c r="E188" s="216"/>
      <c r="F188" s="216"/>
      <c r="G188" s="216"/>
      <c r="H188" s="216"/>
      <c r="I188" s="216"/>
      <c r="J188" s="216"/>
      <c r="K188" s="216"/>
      <c r="L188" s="216"/>
      <c r="M188" s="216"/>
      <c r="N188" s="216"/>
      <c r="O188" s="58" t="s">
        <v>64</v>
      </c>
      <c r="P188" s="58" t="s">
        <v>65</v>
      </c>
      <c r="S188" s="144" t="s">
        <v>76</v>
      </c>
      <c r="T188" s="131">
        <f>SUM(T182:T187)</f>
        <v>562247.42065828573</v>
      </c>
    </row>
    <row r="189" spans="2:20" x14ac:dyDescent="0.25">
      <c r="B189" s="35" t="s">
        <v>77</v>
      </c>
      <c r="C189" s="35">
        <f>C180*34%</f>
        <v>1894.4279119999999</v>
      </c>
      <c r="D189" s="35">
        <f t="shared" ref="D189:N189" si="86">D180*34%</f>
        <v>1894.4279119999999</v>
      </c>
      <c r="E189" s="35">
        <f t="shared" si="86"/>
        <v>1894.4279119999999</v>
      </c>
      <c r="F189" s="35">
        <f t="shared" si="86"/>
        <v>1894.4279119999999</v>
      </c>
      <c r="G189" s="35">
        <f t="shared" si="86"/>
        <v>1894.4279119999999</v>
      </c>
      <c r="H189" s="35">
        <f t="shared" si="86"/>
        <v>1894.4279119999999</v>
      </c>
      <c r="I189" s="35">
        <f t="shared" si="86"/>
        <v>1894.4279119999999</v>
      </c>
      <c r="J189" s="35">
        <f t="shared" si="86"/>
        <v>1894.4279119999999</v>
      </c>
      <c r="K189" s="35">
        <f t="shared" si="86"/>
        <v>1894.4279119999999</v>
      </c>
      <c r="L189" s="35">
        <f t="shared" si="86"/>
        <v>1894.4279119999999</v>
      </c>
      <c r="M189" s="35">
        <f t="shared" si="86"/>
        <v>1894.4279119999999</v>
      </c>
      <c r="N189" s="35">
        <f t="shared" si="86"/>
        <v>1894.4279119999999</v>
      </c>
      <c r="O189" s="60" t="s">
        <v>78</v>
      </c>
      <c r="P189" s="61">
        <f>SUM(C189:N189)</f>
        <v>22733.134943999994</v>
      </c>
      <c r="S189" s="154" t="s">
        <v>30</v>
      </c>
      <c r="T189" s="155">
        <f>T181-T188</f>
        <v>-495385.25905828574</v>
      </c>
    </row>
    <row r="190" spans="2:20" x14ac:dyDescent="0.25">
      <c r="B190" s="34" t="s">
        <v>79</v>
      </c>
      <c r="C190" s="34">
        <f>C189*20%</f>
        <v>378.88558239999998</v>
      </c>
      <c r="D190" s="34">
        <f t="shared" ref="D190:N190" si="87">D189*20%</f>
        <v>378.88558239999998</v>
      </c>
      <c r="E190" s="34">
        <f t="shared" si="87"/>
        <v>378.88558239999998</v>
      </c>
      <c r="F190" s="34">
        <f t="shared" si="87"/>
        <v>378.88558239999998</v>
      </c>
      <c r="G190" s="34">
        <f t="shared" si="87"/>
        <v>378.88558239999998</v>
      </c>
      <c r="H190" s="34">
        <f t="shared" si="87"/>
        <v>378.88558239999998</v>
      </c>
      <c r="I190" s="34">
        <f t="shared" si="87"/>
        <v>378.88558239999998</v>
      </c>
      <c r="J190" s="34">
        <f t="shared" si="87"/>
        <v>378.88558239999998</v>
      </c>
      <c r="K190" s="34">
        <f t="shared" si="87"/>
        <v>378.88558239999998</v>
      </c>
      <c r="L190" s="34">
        <f t="shared" si="87"/>
        <v>378.88558239999998</v>
      </c>
      <c r="M190" s="34">
        <f t="shared" si="87"/>
        <v>378.88558239999998</v>
      </c>
      <c r="N190" s="34">
        <f t="shared" si="87"/>
        <v>378.88558239999998</v>
      </c>
      <c r="O190" s="34"/>
      <c r="P190" s="34"/>
      <c r="S190" s="144" t="s">
        <v>33</v>
      </c>
      <c r="T190" s="131">
        <v>0</v>
      </c>
    </row>
    <row r="191" spans="2:20" x14ac:dyDescent="0.25">
      <c r="B191" s="34" t="s">
        <v>80</v>
      </c>
      <c r="C191" s="34">
        <f>C189+C190</f>
        <v>2273.3134943999999</v>
      </c>
      <c r="D191" s="34">
        <f t="shared" ref="D191:N191" si="88">D189+D190</f>
        <v>2273.3134943999999</v>
      </c>
      <c r="E191" s="34">
        <f t="shared" si="88"/>
        <v>2273.3134943999999</v>
      </c>
      <c r="F191" s="34">
        <f t="shared" si="88"/>
        <v>2273.3134943999999</v>
      </c>
      <c r="G191" s="34">
        <f t="shared" si="88"/>
        <v>2273.3134943999999</v>
      </c>
      <c r="H191" s="34">
        <f t="shared" si="88"/>
        <v>2273.3134943999999</v>
      </c>
      <c r="I191" s="34">
        <f t="shared" si="88"/>
        <v>2273.3134943999999</v>
      </c>
      <c r="J191" s="34">
        <f t="shared" si="88"/>
        <v>2273.3134943999999</v>
      </c>
      <c r="K191" s="34">
        <f t="shared" si="88"/>
        <v>2273.3134943999999</v>
      </c>
      <c r="L191" s="34">
        <f t="shared" si="88"/>
        <v>2273.3134943999999</v>
      </c>
      <c r="M191" s="34">
        <f t="shared" si="88"/>
        <v>2273.3134943999999</v>
      </c>
      <c r="N191" s="34">
        <f t="shared" si="88"/>
        <v>2273.3134943999999</v>
      </c>
      <c r="O191" s="34"/>
      <c r="P191" s="34"/>
      <c r="S191" s="143" t="s">
        <v>36</v>
      </c>
      <c r="T191" s="21">
        <f>P218</f>
        <v>2100</v>
      </c>
    </row>
    <row r="192" spans="2:20" x14ac:dyDescent="0.25">
      <c r="B192" s="59" t="s">
        <v>81</v>
      </c>
      <c r="C192" s="59">
        <f>C191</f>
        <v>2273.3134943999999</v>
      </c>
      <c r="D192" s="59">
        <f>D191</f>
        <v>2273.3134943999999</v>
      </c>
      <c r="E192" s="59">
        <f t="shared" ref="E192:N192" si="89">E191</f>
        <v>2273.3134943999999</v>
      </c>
      <c r="F192" s="59">
        <f t="shared" si="89"/>
        <v>2273.3134943999999</v>
      </c>
      <c r="G192" s="59">
        <f t="shared" si="89"/>
        <v>2273.3134943999999</v>
      </c>
      <c r="H192" s="59">
        <f t="shared" si="89"/>
        <v>2273.3134943999999</v>
      </c>
      <c r="I192" s="59">
        <f t="shared" si="89"/>
        <v>2273.3134943999999</v>
      </c>
      <c r="J192" s="59">
        <f t="shared" si="89"/>
        <v>2273.3134943999999</v>
      </c>
      <c r="K192" s="59">
        <f t="shared" si="89"/>
        <v>2273.3134943999999</v>
      </c>
      <c r="L192" s="59">
        <f t="shared" si="89"/>
        <v>2273.3134943999999</v>
      </c>
      <c r="M192" s="59">
        <f t="shared" si="89"/>
        <v>2273.3134943999999</v>
      </c>
      <c r="N192" s="59">
        <f t="shared" si="89"/>
        <v>2273.3134943999999</v>
      </c>
      <c r="O192" s="60" t="s">
        <v>82</v>
      </c>
      <c r="P192" s="61">
        <v>0</v>
      </c>
      <c r="S192" s="144" t="s">
        <v>37</v>
      </c>
      <c r="T192" s="131">
        <f>T191</f>
        <v>2100</v>
      </c>
    </row>
    <row r="193" spans="2:24" x14ac:dyDescent="0.25">
      <c r="S193" s="154" t="s">
        <v>40</v>
      </c>
      <c r="T193" s="155">
        <f>T190-T192</f>
        <v>-2100</v>
      </c>
    </row>
    <row r="194" spans="2:24" x14ac:dyDescent="0.25">
      <c r="S194" s="154" t="s">
        <v>43</v>
      </c>
      <c r="T194" s="155">
        <f>T189-(-T193)</f>
        <v>-497485.25905828574</v>
      </c>
    </row>
    <row r="195" spans="2:24" x14ac:dyDescent="0.25">
      <c r="B195" s="230" t="s">
        <v>156</v>
      </c>
      <c r="C195" s="230"/>
      <c r="D195" s="230"/>
      <c r="E195" s="230"/>
      <c r="F195" s="230"/>
      <c r="G195" s="230"/>
      <c r="H195" s="230"/>
      <c r="I195" s="230"/>
      <c r="J195" s="230"/>
      <c r="K195" s="230"/>
      <c r="L195" s="230"/>
      <c r="M195" s="230"/>
      <c r="N195" s="230"/>
      <c r="O195" s="230"/>
      <c r="P195" s="230"/>
      <c r="S195" s="154" t="s">
        <v>45</v>
      </c>
      <c r="T195" s="21"/>
    </row>
    <row r="196" spans="2:24" x14ac:dyDescent="0.25">
      <c r="B196" s="213"/>
      <c r="C196" s="215" t="s">
        <v>50</v>
      </c>
      <c r="D196" s="215" t="s">
        <v>51</v>
      </c>
      <c r="E196" s="215" t="s">
        <v>52</v>
      </c>
      <c r="F196" s="215" t="s">
        <v>53</v>
      </c>
      <c r="G196" s="215" t="s">
        <v>54</v>
      </c>
      <c r="H196" s="215" t="s">
        <v>55</v>
      </c>
      <c r="I196" s="215" t="s">
        <v>56</v>
      </c>
      <c r="J196" s="215" t="s">
        <v>57</v>
      </c>
      <c r="K196" s="215" t="s">
        <v>58</v>
      </c>
      <c r="L196" s="215" t="s">
        <v>59</v>
      </c>
      <c r="M196" s="215" t="s">
        <v>60</v>
      </c>
      <c r="N196" s="215" t="s">
        <v>61</v>
      </c>
      <c r="O196" s="220" t="s">
        <v>62</v>
      </c>
      <c r="P196" s="221"/>
      <c r="S196" s="182" t="s">
        <v>47</v>
      </c>
      <c r="T196" s="183">
        <f>T194</f>
        <v>-497485.25905828574</v>
      </c>
    </row>
    <row r="197" spans="2:24" x14ac:dyDescent="0.25">
      <c r="B197" s="231"/>
      <c r="C197" s="232"/>
      <c r="D197" s="232"/>
      <c r="E197" s="232"/>
      <c r="F197" s="232"/>
      <c r="G197" s="232"/>
      <c r="H197" s="232"/>
      <c r="I197" s="232"/>
      <c r="J197" s="232"/>
      <c r="K197" s="232"/>
      <c r="L197" s="232"/>
      <c r="M197" s="232"/>
      <c r="N197" s="232"/>
      <c r="O197" s="58" t="s">
        <v>64</v>
      </c>
      <c r="P197" s="58" t="s">
        <v>65</v>
      </c>
    </row>
    <row r="198" spans="2:24" x14ac:dyDescent="0.25">
      <c r="B198" s="21" t="s">
        <v>84</v>
      </c>
      <c r="C198" s="21">
        <v>7100</v>
      </c>
      <c r="D198" s="21">
        <v>7100</v>
      </c>
      <c r="E198" s="21">
        <v>7100</v>
      </c>
      <c r="F198" s="21">
        <v>7100</v>
      </c>
      <c r="G198" s="21">
        <v>7100</v>
      </c>
      <c r="H198" s="21">
        <v>7100</v>
      </c>
      <c r="I198" s="21">
        <v>7100</v>
      </c>
      <c r="J198" s="21">
        <v>7100</v>
      </c>
      <c r="K198" s="21">
        <v>7100</v>
      </c>
      <c r="L198" s="21">
        <v>7100</v>
      </c>
      <c r="M198" s="21">
        <v>7100</v>
      </c>
      <c r="N198" s="22">
        <v>7100</v>
      </c>
      <c r="O198" s="60" t="s">
        <v>85</v>
      </c>
      <c r="P198" s="61">
        <f>SUM(C198:N198)</f>
        <v>85200</v>
      </c>
    </row>
    <row r="199" spans="2:24" x14ac:dyDescent="0.25">
      <c r="B199" s="21" t="s">
        <v>86</v>
      </c>
      <c r="C199" s="21">
        <f>C198*20%</f>
        <v>1420</v>
      </c>
      <c r="D199" s="21">
        <f t="shared" ref="D199:N199" si="90">D198*20%</f>
        <v>1420</v>
      </c>
      <c r="E199" s="21">
        <f t="shared" si="90"/>
        <v>1420</v>
      </c>
      <c r="F199" s="21">
        <f t="shared" si="90"/>
        <v>1420</v>
      </c>
      <c r="G199" s="21">
        <f t="shared" si="90"/>
        <v>1420</v>
      </c>
      <c r="H199" s="21">
        <f t="shared" si="90"/>
        <v>1420</v>
      </c>
      <c r="I199" s="21">
        <f t="shared" si="90"/>
        <v>1420</v>
      </c>
      <c r="J199" s="21">
        <f t="shared" si="90"/>
        <v>1420</v>
      </c>
      <c r="K199" s="21">
        <f t="shared" si="90"/>
        <v>1420</v>
      </c>
      <c r="L199" s="21">
        <f t="shared" si="90"/>
        <v>1420</v>
      </c>
      <c r="M199" s="21">
        <f t="shared" si="90"/>
        <v>1420</v>
      </c>
      <c r="N199" s="22">
        <f t="shared" si="90"/>
        <v>1420</v>
      </c>
      <c r="O199" s="47"/>
      <c r="P199" s="48"/>
    </row>
    <row r="200" spans="2:24" x14ac:dyDescent="0.25">
      <c r="B200" s="23" t="s">
        <v>87</v>
      </c>
      <c r="C200" s="23">
        <f>C198+C199</f>
        <v>8520</v>
      </c>
      <c r="D200" s="23">
        <f t="shared" ref="D200:N200" si="91">D198+D199</f>
        <v>8520</v>
      </c>
      <c r="E200" s="23">
        <f t="shared" si="91"/>
        <v>8520</v>
      </c>
      <c r="F200" s="23">
        <f t="shared" si="91"/>
        <v>8520</v>
      </c>
      <c r="G200" s="23">
        <f t="shared" si="91"/>
        <v>8520</v>
      </c>
      <c r="H200" s="23">
        <f t="shared" si="91"/>
        <v>8520</v>
      </c>
      <c r="I200" s="23">
        <f t="shared" si="91"/>
        <v>8520</v>
      </c>
      <c r="J200" s="23">
        <f t="shared" si="91"/>
        <v>8520</v>
      </c>
      <c r="K200" s="23">
        <f t="shared" si="91"/>
        <v>8520</v>
      </c>
      <c r="L200" s="23">
        <f t="shared" si="91"/>
        <v>8520</v>
      </c>
      <c r="M200" s="23">
        <f t="shared" si="91"/>
        <v>8520</v>
      </c>
      <c r="N200" s="25">
        <f t="shared" si="91"/>
        <v>8520</v>
      </c>
      <c r="O200" s="34"/>
      <c r="P200" s="34"/>
    </row>
    <row r="201" spans="2:24" x14ac:dyDescent="0.25">
      <c r="B201" s="59" t="s">
        <v>81</v>
      </c>
      <c r="C201" s="59">
        <f>+C198+C199</f>
        <v>8520</v>
      </c>
      <c r="D201" s="59">
        <f t="shared" ref="D201:N201" si="92">+D198+D199</f>
        <v>8520</v>
      </c>
      <c r="E201" s="59">
        <f t="shared" si="92"/>
        <v>8520</v>
      </c>
      <c r="F201" s="59">
        <f t="shared" si="92"/>
        <v>8520</v>
      </c>
      <c r="G201" s="59">
        <f t="shared" si="92"/>
        <v>8520</v>
      </c>
      <c r="H201" s="59">
        <f t="shared" si="92"/>
        <v>8520</v>
      </c>
      <c r="I201" s="59">
        <f t="shared" si="92"/>
        <v>8520</v>
      </c>
      <c r="J201" s="59">
        <f t="shared" si="92"/>
        <v>8520</v>
      </c>
      <c r="K201" s="59">
        <f t="shared" si="92"/>
        <v>8520</v>
      </c>
      <c r="L201" s="59">
        <f t="shared" si="92"/>
        <v>8520</v>
      </c>
      <c r="M201" s="59">
        <f t="shared" si="92"/>
        <v>8520</v>
      </c>
      <c r="N201" s="59">
        <f t="shared" si="92"/>
        <v>8520</v>
      </c>
      <c r="O201" s="47"/>
      <c r="P201" s="34"/>
      <c r="S201" s="228" t="s">
        <v>157</v>
      </c>
      <c r="T201" s="233"/>
      <c r="U201" s="233"/>
      <c r="V201" s="233"/>
      <c r="W201" s="233"/>
      <c r="X201" s="229"/>
    </row>
    <row r="202" spans="2:24" ht="30" x14ac:dyDescent="0.25">
      <c r="B202" s="28" t="s">
        <v>89</v>
      </c>
      <c r="C202" s="21"/>
      <c r="D202" s="21"/>
      <c r="E202" s="21"/>
      <c r="F202" s="21"/>
      <c r="G202" s="21"/>
      <c r="H202" s="21"/>
      <c r="I202" s="21"/>
      <c r="J202" s="21"/>
      <c r="K202" s="21"/>
      <c r="L202" s="21"/>
      <c r="M202" s="21"/>
      <c r="N202" s="22">
        <v>7500</v>
      </c>
      <c r="O202" s="47"/>
      <c r="P202" s="48"/>
      <c r="S202" s="144" t="s">
        <v>2</v>
      </c>
      <c r="T202" s="145" t="s">
        <v>3</v>
      </c>
      <c r="U202" s="145" t="s">
        <v>4</v>
      </c>
      <c r="V202" s="145" t="s">
        <v>5</v>
      </c>
      <c r="W202" s="146" t="s">
        <v>6</v>
      </c>
      <c r="X202" s="147" t="s">
        <v>5</v>
      </c>
    </row>
    <row r="203" spans="2:24" x14ac:dyDescent="0.25">
      <c r="B203" s="26" t="s">
        <v>144</v>
      </c>
      <c r="C203" s="27"/>
      <c r="D203" s="21"/>
      <c r="E203" s="21"/>
      <c r="F203" s="21"/>
      <c r="G203" s="21"/>
      <c r="H203" s="21"/>
      <c r="I203" s="21"/>
      <c r="J203" s="21"/>
      <c r="K203" s="21"/>
      <c r="L203" s="21"/>
      <c r="M203" s="21"/>
      <c r="N203" s="22">
        <f>Emprunt!K6</f>
        <v>3214.2857142857142</v>
      </c>
      <c r="O203" s="60" t="s">
        <v>90</v>
      </c>
      <c r="P203" s="61">
        <f>N203</f>
        <v>3214.2857142857142</v>
      </c>
      <c r="S203" s="148" t="s">
        <v>8</v>
      </c>
      <c r="T203" s="148">
        <f>SUM(T204:T207)</f>
        <v>275900</v>
      </c>
      <c r="U203" s="148">
        <f>SUM(U204:U205)</f>
        <v>77134.523809523816</v>
      </c>
      <c r="V203" s="148">
        <f>SUM(V204:V205)</f>
        <v>198765.47619047615</v>
      </c>
      <c r="W203" s="148" t="s">
        <v>9</v>
      </c>
      <c r="X203" s="149">
        <f>SUM(X204:X207)</f>
        <v>-1409068.6875535238</v>
      </c>
    </row>
    <row r="204" spans="2:24" x14ac:dyDescent="0.25">
      <c r="B204" s="30" t="s">
        <v>145</v>
      </c>
      <c r="C204" s="31"/>
      <c r="D204" s="31"/>
      <c r="E204" s="31"/>
      <c r="F204" s="31"/>
      <c r="G204" s="31"/>
      <c r="H204" s="31"/>
      <c r="I204" s="31"/>
      <c r="J204" s="31"/>
      <c r="K204" s="31"/>
      <c r="L204" s="31"/>
      <c r="M204" s="31"/>
      <c r="N204" s="32">
        <f>Emprunt!K15</f>
        <v>1700</v>
      </c>
      <c r="O204" s="60" t="s">
        <v>90</v>
      </c>
      <c r="P204" s="61">
        <f t="shared" ref="P204:P205" si="93">N204</f>
        <v>1700</v>
      </c>
      <c r="S204" s="150" t="s">
        <v>11</v>
      </c>
      <c r="T204" s="150">
        <f>T115</f>
        <v>176000</v>
      </c>
      <c r="U204" s="150">
        <f>U115+AB31+N204</f>
        <v>27908.956386292837</v>
      </c>
      <c r="V204" s="150">
        <f>T204-U204</f>
        <v>148091.04361370715</v>
      </c>
      <c r="W204" s="150" t="s">
        <v>12</v>
      </c>
      <c r="X204" s="151">
        <v>50000</v>
      </c>
    </row>
    <row r="205" spans="2:24" x14ac:dyDescent="0.25">
      <c r="B205" s="24" t="s">
        <v>158</v>
      </c>
      <c r="C205" s="21"/>
      <c r="D205" s="21"/>
      <c r="E205" s="21"/>
      <c r="F205" s="21"/>
      <c r="G205" s="21"/>
      <c r="H205" s="21"/>
      <c r="I205" s="21"/>
      <c r="J205" s="21"/>
      <c r="K205" s="21"/>
      <c r="L205" s="21"/>
      <c r="M205" s="21"/>
      <c r="N205" s="32">
        <f>Emprunt!K28</f>
        <v>3200</v>
      </c>
      <c r="O205" s="60" t="s">
        <v>90</v>
      </c>
      <c r="P205" s="61">
        <f t="shared" si="93"/>
        <v>3200</v>
      </c>
      <c r="S205" s="150" t="s">
        <v>14</v>
      </c>
      <c r="T205" s="150">
        <f>T116+P226</f>
        <v>99900</v>
      </c>
      <c r="U205" s="150">
        <f>U116+AA30+N203+N205</f>
        <v>49225.567423230983</v>
      </c>
      <c r="V205" s="150">
        <f>T205-U205</f>
        <v>50674.432576769017</v>
      </c>
      <c r="W205" s="150" t="s">
        <v>15</v>
      </c>
      <c r="X205" s="151">
        <v>5000</v>
      </c>
    </row>
    <row r="206" spans="2:24" ht="30" x14ac:dyDescent="0.25">
      <c r="B206" s="59" t="s">
        <v>94</v>
      </c>
      <c r="C206" s="59">
        <f>C202+C203</f>
        <v>0</v>
      </c>
      <c r="D206" s="59">
        <f t="shared" ref="D206:M206" si="94">D202+D203</f>
        <v>0</v>
      </c>
      <c r="E206" s="59">
        <f t="shared" si="94"/>
        <v>0</v>
      </c>
      <c r="F206" s="59">
        <f t="shared" si="94"/>
        <v>0</v>
      </c>
      <c r="G206" s="59">
        <f t="shared" si="94"/>
        <v>0</v>
      </c>
      <c r="H206" s="59">
        <f t="shared" si="94"/>
        <v>0</v>
      </c>
      <c r="I206" s="59">
        <f t="shared" si="94"/>
        <v>0</v>
      </c>
      <c r="J206" s="59">
        <f t="shared" si="94"/>
        <v>0</v>
      </c>
      <c r="K206" s="59">
        <f t="shared" si="94"/>
        <v>0</v>
      </c>
      <c r="L206" s="59">
        <f t="shared" si="94"/>
        <v>0</v>
      </c>
      <c r="M206" s="59">
        <f t="shared" si="94"/>
        <v>0</v>
      </c>
      <c r="N206" s="59">
        <f>N202+N203+N204+N205</f>
        <v>15614.285714285714</v>
      </c>
      <c r="O206" s="60" t="s">
        <v>93</v>
      </c>
      <c r="P206" s="61">
        <f>SUM(C206:N206)</f>
        <v>15614.285714285714</v>
      </c>
      <c r="S206" s="148"/>
      <c r="T206" s="148"/>
      <c r="U206" s="148"/>
      <c r="V206" s="148"/>
      <c r="W206" s="150" t="s">
        <v>17</v>
      </c>
      <c r="X206" s="151">
        <f>X117+X118</f>
        <v>-966583.42849523807</v>
      </c>
    </row>
    <row r="207" spans="2:24" x14ac:dyDescent="0.25">
      <c r="B207" s="21" t="s">
        <v>95</v>
      </c>
      <c r="C207" s="21">
        <f t="shared" ref="C207:N207" si="95">307500/12</f>
        <v>25625</v>
      </c>
      <c r="D207" s="21">
        <f t="shared" si="95"/>
        <v>25625</v>
      </c>
      <c r="E207" s="21">
        <f t="shared" si="95"/>
        <v>25625</v>
      </c>
      <c r="F207" s="21">
        <f t="shared" si="95"/>
        <v>25625</v>
      </c>
      <c r="G207" s="21">
        <f t="shared" si="95"/>
        <v>25625</v>
      </c>
      <c r="H207" s="21">
        <f t="shared" si="95"/>
        <v>25625</v>
      </c>
      <c r="I207" s="21">
        <f t="shared" si="95"/>
        <v>25625</v>
      </c>
      <c r="J207" s="21">
        <f t="shared" si="95"/>
        <v>25625</v>
      </c>
      <c r="K207" s="21">
        <f t="shared" si="95"/>
        <v>25625</v>
      </c>
      <c r="L207" s="21">
        <f t="shared" si="95"/>
        <v>25625</v>
      </c>
      <c r="M207" s="21">
        <f t="shared" si="95"/>
        <v>25625</v>
      </c>
      <c r="N207" s="22">
        <f t="shared" si="95"/>
        <v>25625</v>
      </c>
      <c r="O207" s="47"/>
      <c r="P207" s="48"/>
      <c r="S207" s="150"/>
      <c r="T207" s="150"/>
      <c r="U207" s="150"/>
      <c r="V207" s="150"/>
      <c r="W207" s="150" t="s">
        <v>19</v>
      </c>
      <c r="X207" s="151">
        <f>T196</f>
        <v>-497485.25905828574</v>
      </c>
    </row>
    <row r="208" spans="2:24" x14ac:dyDescent="0.25">
      <c r="B208" s="59" t="s">
        <v>96</v>
      </c>
      <c r="C208" s="59">
        <f t="shared" ref="C208:N208" si="96">C207</f>
        <v>25625</v>
      </c>
      <c r="D208" s="59">
        <f t="shared" si="96"/>
        <v>25625</v>
      </c>
      <c r="E208" s="59">
        <f t="shared" si="96"/>
        <v>25625</v>
      </c>
      <c r="F208" s="59">
        <f t="shared" si="96"/>
        <v>25625</v>
      </c>
      <c r="G208" s="59">
        <f t="shared" si="96"/>
        <v>25625</v>
      </c>
      <c r="H208" s="59">
        <f t="shared" si="96"/>
        <v>25625</v>
      </c>
      <c r="I208" s="59">
        <f t="shared" si="96"/>
        <v>25625</v>
      </c>
      <c r="J208" s="59">
        <f t="shared" si="96"/>
        <v>25625</v>
      </c>
      <c r="K208" s="59">
        <f t="shared" si="96"/>
        <v>25625</v>
      </c>
      <c r="L208" s="59">
        <f t="shared" si="96"/>
        <v>25625</v>
      </c>
      <c r="M208" s="59">
        <f t="shared" si="96"/>
        <v>25625</v>
      </c>
      <c r="N208" s="59">
        <f t="shared" si="96"/>
        <v>25625</v>
      </c>
      <c r="O208" s="60" t="s">
        <v>97</v>
      </c>
      <c r="P208" s="61">
        <f>SUM(C208:N208)</f>
        <v>307500</v>
      </c>
      <c r="S208" s="152"/>
      <c r="T208" s="153"/>
      <c r="V208" s="153"/>
      <c r="W208" s="151"/>
      <c r="X208" s="149"/>
    </row>
    <row r="209" spans="2:24" x14ac:dyDescent="0.25">
      <c r="B209" s="21" t="s">
        <v>21</v>
      </c>
      <c r="C209" s="21">
        <f t="shared" ref="C209:N209" si="97">C207*0.4</f>
        <v>10250</v>
      </c>
      <c r="D209" s="21">
        <f t="shared" si="97"/>
        <v>10250</v>
      </c>
      <c r="E209" s="21">
        <f t="shared" si="97"/>
        <v>10250</v>
      </c>
      <c r="F209" s="21">
        <f t="shared" si="97"/>
        <v>10250</v>
      </c>
      <c r="G209" s="21">
        <f t="shared" si="97"/>
        <v>10250</v>
      </c>
      <c r="H209" s="21">
        <f t="shared" si="97"/>
        <v>10250</v>
      </c>
      <c r="I209" s="21">
        <f t="shared" si="97"/>
        <v>10250</v>
      </c>
      <c r="J209" s="21">
        <f t="shared" si="97"/>
        <v>10250</v>
      </c>
      <c r="K209" s="21">
        <f t="shared" si="97"/>
        <v>10250</v>
      </c>
      <c r="L209" s="21">
        <f t="shared" si="97"/>
        <v>10250</v>
      </c>
      <c r="M209" s="21">
        <f t="shared" si="97"/>
        <v>10250</v>
      </c>
      <c r="N209" s="22">
        <f t="shared" si="97"/>
        <v>10250</v>
      </c>
      <c r="O209" s="60" t="s">
        <v>98</v>
      </c>
      <c r="P209" s="61">
        <f>SUM(C209:N209)</f>
        <v>123000</v>
      </c>
      <c r="S209" s="148" t="s">
        <v>22</v>
      </c>
      <c r="T209" s="148">
        <f>SUM(T210:T212)</f>
        <v>-1549246.6799663985</v>
      </c>
      <c r="U209" s="148">
        <f>SUM(U210:U212)</f>
        <v>0</v>
      </c>
      <c r="V209" s="148">
        <f>SUM(V210:V212)</f>
        <v>-1549246.6799663985</v>
      </c>
      <c r="W209" s="148" t="s">
        <v>23</v>
      </c>
      <c r="X209" s="149">
        <f>SUM(X210:X213)</f>
        <v>39565.483777599999</v>
      </c>
    </row>
    <row r="210" spans="2:24" ht="30" x14ac:dyDescent="0.25">
      <c r="B210" s="59" t="s">
        <v>99</v>
      </c>
      <c r="C210" s="59">
        <f>P121</f>
        <v>10250</v>
      </c>
      <c r="D210" s="59">
        <f t="shared" ref="D210:N210" si="98">C209</f>
        <v>10250</v>
      </c>
      <c r="E210" s="59">
        <f t="shared" si="98"/>
        <v>10250</v>
      </c>
      <c r="F210" s="59">
        <f t="shared" si="98"/>
        <v>10250</v>
      </c>
      <c r="G210" s="59">
        <f t="shared" si="98"/>
        <v>10250</v>
      </c>
      <c r="H210" s="59">
        <f t="shared" si="98"/>
        <v>10250</v>
      </c>
      <c r="I210" s="59">
        <f t="shared" si="98"/>
        <v>10250</v>
      </c>
      <c r="J210" s="59">
        <f t="shared" si="98"/>
        <v>10250</v>
      </c>
      <c r="K210" s="59">
        <f t="shared" si="98"/>
        <v>10250</v>
      </c>
      <c r="L210" s="59">
        <f t="shared" si="98"/>
        <v>10250</v>
      </c>
      <c r="M210" s="59">
        <f t="shared" si="98"/>
        <v>10250</v>
      </c>
      <c r="N210" s="59">
        <f t="shared" si="98"/>
        <v>10250</v>
      </c>
      <c r="O210" s="60" t="s">
        <v>100</v>
      </c>
      <c r="P210" s="61">
        <f>N209</f>
        <v>10250</v>
      </c>
      <c r="S210" s="150" t="s">
        <v>25</v>
      </c>
      <c r="T210" s="150">
        <v>15000</v>
      </c>
      <c r="U210" s="150"/>
      <c r="V210" s="150">
        <f>T210-U210</f>
        <v>15000</v>
      </c>
      <c r="W210" s="150" t="s">
        <v>26</v>
      </c>
      <c r="X210" s="151">
        <f>Emprunt!G11</f>
        <v>30000</v>
      </c>
    </row>
    <row r="211" spans="2:24" ht="30" x14ac:dyDescent="0.25">
      <c r="S211" s="150" t="s">
        <v>28</v>
      </c>
      <c r="T211" s="150">
        <f>P183</f>
        <v>6686.216159999999</v>
      </c>
      <c r="U211" s="150"/>
      <c r="V211" s="150">
        <f t="shared" ref="V211:V212" si="99">T211-U211</f>
        <v>6686.216159999999</v>
      </c>
      <c r="W211" s="150" t="s">
        <v>29</v>
      </c>
      <c r="X211" s="151">
        <v>0</v>
      </c>
    </row>
    <row r="212" spans="2:24" x14ac:dyDescent="0.25">
      <c r="S212" s="150" t="s">
        <v>34</v>
      </c>
      <c r="T212" s="150">
        <f>P262</f>
        <v>-1570932.8961263986</v>
      </c>
      <c r="U212" s="150"/>
      <c r="V212" s="150">
        <f t="shared" si="99"/>
        <v>-1570932.8961263986</v>
      </c>
      <c r="W212" s="150" t="s">
        <v>159</v>
      </c>
      <c r="X212" s="151">
        <f>P210+P241</f>
        <v>9565.4837776000004</v>
      </c>
    </row>
    <row r="213" spans="2:24" x14ac:dyDescent="0.25">
      <c r="B213" s="219" t="s">
        <v>160</v>
      </c>
      <c r="C213" s="219"/>
      <c r="D213" s="219"/>
      <c r="E213" s="219"/>
      <c r="F213" s="219"/>
      <c r="G213" s="219"/>
      <c r="H213" s="219"/>
      <c r="I213" s="219"/>
      <c r="J213" s="219"/>
      <c r="K213" s="219"/>
      <c r="L213" s="219"/>
      <c r="M213" s="219"/>
      <c r="N213" s="219"/>
      <c r="O213" s="219"/>
      <c r="P213" s="219"/>
      <c r="S213" s="150"/>
      <c r="T213" s="150"/>
      <c r="U213" s="150"/>
      <c r="V213" s="150"/>
      <c r="W213" s="150"/>
      <c r="X213" s="151"/>
    </row>
    <row r="214" spans="2:24" x14ac:dyDescent="0.25">
      <c r="B214" s="213"/>
      <c r="C214" s="215" t="s">
        <v>50</v>
      </c>
      <c r="D214" s="215" t="s">
        <v>51</v>
      </c>
      <c r="E214" s="215" t="s">
        <v>52</v>
      </c>
      <c r="F214" s="215" t="s">
        <v>53</v>
      </c>
      <c r="G214" s="215" t="s">
        <v>54</v>
      </c>
      <c r="H214" s="215" t="s">
        <v>55</v>
      </c>
      <c r="I214" s="215" t="s">
        <v>56</v>
      </c>
      <c r="J214" s="215" t="s">
        <v>57</v>
      </c>
      <c r="K214" s="215" t="s">
        <v>58</v>
      </c>
      <c r="L214" s="215" t="s">
        <v>59</v>
      </c>
      <c r="M214" s="215" t="s">
        <v>60</v>
      </c>
      <c r="N214" s="215" t="s">
        <v>61</v>
      </c>
      <c r="O214" s="220" t="s">
        <v>62</v>
      </c>
      <c r="P214" s="221"/>
      <c r="S214" s="156" t="s">
        <v>38</v>
      </c>
      <c r="T214" s="156">
        <f>T203+T209</f>
        <v>-1273346.6799663985</v>
      </c>
      <c r="U214" s="156">
        <f>U203</f>
        <v>77134.523809523816</v>
      </c>
      <c r="V214" s="156">
        <f>T214-U214</f>
        <v>-1350481.2037759223</v>
      </c>
      <c r="W214" s="156" t="s">
        <v>39</v>
      </c>
      <c r="X214" s="157">
        <f>X203+X209</f>
        <v>-1369503.2037759237</v>
      </c>
    </row>
    <row r="215" spans="2:24" x14ac:dyDescent="0.25">
      <c r="B215" s="214"/>
      <c r="C215" s="216"/>
      <c r="D215" s="216"/>
      <c r="E215" s="216"/>
      <c r="F215" s="216"/>
      <c r="G215" s="216"/>
      <c r="H215" s="216"/>
      <c r="I215" s="216"/>
      <c r="J215" s="216"/>
      <c r="K215" s="216"/>
      <c r="L215" s="216"/>
      <c r="M215" s="216"/>
      <c r="N215" s="216"/>
      <c r="O215" s="58" t="s">
        <v>64</v>
      </c>
      <c r="P215" s="58" t="s">
        <v>65</v>
      </c>
      <c r="W215" s="158" t="s">
        <v>42</v>
      </c>
      <c r="X215" s="159">
        <f>V214-X214</f>
        <v>19022.000000001397</v>
      </c>
    </row>
    <row r="216" spans="2:24" x14ac:dyDescent="0.25">
      <c r="B216" s="46" t="s">
        <v>102</v>
      </c>
      <c r="C216" s="35"/>
      <c r="D216" s="35"/>
      <c r="E216" s="35"/>
      <c r="F216" s="35"/>
      <c r="G216" s="35"/>
      <c r="H216" s="35"/>
      <c r="I216" s="35"/>
      <c r="J216" s="35"/>
      <c r="K216" s="35"/>
      <c r="L216" s="35">
        <v>8200</v>
      </c>
      <c r="M216" s="35"/>
      <c r="N216" s="35"/>
      <c r="O216" s="60" t="s">
        <v>103</v>
      </c>
      <c r="P216" s="61">
        <f>SUM(C216:N216)</f>
        <v>8200</v>
      </c>
    </row>
    <row r="217" spans="2:24" x14ac:dyDescent="0.25">
      <c r="B217" s="34" t="s">
        <v>105</v>
      </c>
      <c r="C217" s="34"/>
      <c r="D217" s="34"/>
      <c r="E217" s="34"/>
      <c r="F217" s="34"/>
      <c r="G217" s="34"/>
      <c r="H217" s="34"/>
      <c r="I217" s="34"/>
      <c r="J217" s="34"/>
      <c r="K217" s="34"/>
      <c r="L217" s="35">
        <v>8200</v>
      </c>
      <c r="M217" s="34"/>
      <c r="N217" s="34"/>
      <c r="O217" s="34"/>
      <c r="P217" s="34"/>
    </row>
    <row r="218" spans="2:24" x14ac:dyDescent="0.25">
      <c r="B218" s="34" t="s">
        <v>106</v>
      </c>
      <c r="C218" s="34">
        <f>$P$218/12</f>
        <v>175</v>
      </c>
      <c r="D218" s="34">
        <f t="shared" ref="D218:N218" si="100">$P$218/12</f>
        <v>175</v>
      </c>
      <c r="E218" s="34">
        <f t="shared" si="100"/>
        <v>175</v>
      </c>
      <c r="F218" s="34">
        <f t="shared" si="100"/>
        <v>175</v>
      </c>
      <c r="G218" s="34">
        <f t="shared" si="100"/>
        <v>175</v>
      </c>
      <c r="H218" s="34">
        <f t="shared" si="100"/>
        <v>175</v>
      </c>
      <c r="I218" s="34">
        <f t="shared" si="100"/>
        <v>175</v>
      </c>
      <c r="J218" s="34">
        <f t="shared" si="100"/>
        <v>175</v>
      </c>
      <c r="K218" s="34">
        <f t="shared" si="100"/>
        <v>175</v>
      </c>
      <c r="L218" s="34">
        <f t="shared" si="100"/>
        <v>175</v>
      </c>
      <c r="M218" s="34">
        <f t="shared" si="100"/>
        <v>175</v>
      </c>
      <c r="N218" s="34">
        <f t="shared" si="100"/>
        <v>175</v>
      </c>
      <c r="O218" s="60" t="s">
        <v>107</v>
      </c>
      <c r="P218" s="61">
        <f>Emprunt!D11</f>
        <v>2100</v>
      </c>
    </row>
    <row r="219" spans="2:24" x14ac:dyDescent="0.25">
      <c r="B219" s="34" t="s">
        <v>108</v>
      </c>
      <c r="C219" s="34">
        <f>$P$219/12</f>
        <v>2500</v>
      </c>
      <c r="D219" s="34">
        <f t="shared" ref="D219:N219" si="101">$P$219/12</f>
        <v>2500</v>
      </c>
      <c r="E219" s="34">
        <f t="shared" si="101"/>
        <v>2500</v>
      </c>
      <c r="F219" s="34">
        <f t="shared" si="101"/>
        <v>2500</v>
      </c>
      <c r="G219" s="34">
        <f t="shared" si="101"/>
        <v>2500</v>
      </c>
      <c r="H219" s="34">
        <f t="shared" si="101"/>
        <v>2500</v>
      </c>
      <c r="I219" s="34">
        <f t="shared" si="101"/>
        <v>2500</v>
      </c>
      <c r="J219" s="34">
        <f t="shared" si="101"/>
        <v>2500</v>
      </c>
      <c r="K219" s="34">
        <f t="shared" si="101"/>
        <v>2500</v>
      </c>
      <c r="L219" s="34">
        <f t="shared" si="101"/>
        <v>2500</v>
      </c>
      <c r="M219" s="34">
        <f t="shared" si="101"/>
        <v>2500</v>
      </c>
      <c r="N219" s="34">
        <f t="shared" si="101"/>
        <v>2500</v>
      </c>
      <c r="O219" s="60" t="s">
        <v>109</v>
      </c>
      <c r="P219" s="61">
        <f>Emprunt!E10</f>
        <v>30000</v>
      </c>
    </row>
    <row r="220" spans="2:24" x14ac:dyDescent="0.25">
      <c r="B220" s="59" t="s">
        <v>71</v>
      </c>
      <c r="C220" s="59">
        <f>C218+C219</f>
        <v>2675</v>
      </c>
      <c r="D220" s="59">
        <f t="shared" ref="D220:N220" si="102">D218+D219</f>
        <v>2675</v>
      </c>
      <c r="E220" s="59">
        <f t="shared" si="102"/>
        <v>2675</v>
      </c>
      <c r="F220" s="59">
        <f t="shared" si="102"/>
        <v>2675</v>
      </c>
      <c r="G220" s="59">
        <f t="shared" si="102"/>
        <v>2675</v>
      </c>
      <c r="H220" s="59">
        <f t="shared" si="102"/>
        <v>2675</v>
      </c>
      <c r="I220" s="59">
        <f t="shared" si="102"/>
        <v>2675</v>
      </c>
      <c r="J220" s="59">
        <f t="shared" si="102"/>
        <v>2675</v>
      </c>
      <c r="K220" s="59">
        <f t="shared" si="102"/>
        <v>2675</v>
      </c>
      <c r="L220" s="59">
        <f t="shared" si="102"/>
        <v>2675</v>
      </c>
      <c r="M220" s="59">
        <f t="shared" si="102"/>
        <v>2675</v>
      </c>
      <c r="N220" s="59">
        <f t="shared" si="102"/>
        <v>2675</v>
      </c>
      <c r="O220" s="38"/>
      <c r="P220" s="38"/>
    </row>
    <row r="223" spans="2:24" x14ac:dyDescent="0.25">
      <c r="B223" s="177" t="s">
        <v>161</v>
      </c>
      <c r="C223" s="36"/>
      <c r="D223" s="36"/>
      <c r="E223" s="36"/>
      <c r="F223" s="36"/>
      <c r="G223" s="36"/>
      <c r="H223" s="36"/>
      <c r="I223" s="36"/>
      <c r="J223" s="36"/>
      <c r="K223" s="36"/>
      <c r="L223" s="36"/>
      <c r="M223" s="36"/>
      <c r="N223" s="36"/>
      <c r="O223" s="36"/>
      <c r="P223" s="36"/>
    </row>
    <row r="224" spans="2:24" x14ac:dyDescent="0.25">
      <c r="B224" s="213"/>
      <c r="C224" s="215" t="s">
        <v>50</v>
      </c>
      <c r="D224" s="215" t="s">
        <v>51</v>
      </c>
      <c r="E224" s="215" t="s">
        <v>52</v>
      </c>
      <c r="F224" s="215" t="s">
        <v>53</v>
      </c>
      <c r="G224" s="215" t="s">
        <v>54</v>
      </c>
      <c r="H224" s="215" t="s">
        <v>55</v>
      </c>
      <c r="I224" s="215" t="s">
        <v>56</v>
      </c>
      <c r="J224" s="215" t="s">
        <v>57</v>
      </c>
      <c r="K224" s="215" t="s">
        <v>58</v>
      </c>
      <c r="L224" s="215" t="s">
        <v>59</v>
      </c>
      <c r="M224" s="215" t="s">
        <v>60</v>
      </c>
      <c r="N224" s="215" t="s">
        <v>61</v>
      </c>
      <c r="O224" s="220" t="s">
        <v>62</v>
      </c>
      <c r="P224" s="221"/>
    </row>
    <row r="225" spans="2:16" x14ac:dyDescent="0.25">
      <c r="B225" s="214"/>
      <c r="C225" s="216"/>
      <c r="D225" s="216"/>
      <c r="E225" s="216"/>
      <c r="F225" s="216"/>
      <c r="G225" s="216"/>
      <c r="H225" s="216"/>
      <c r="I225" s="216"/>
      <c r="J225" s="216"/>
      <c r="K225" s="216"/>
      <c r="L225" s="216"/>
      <c r="M225" s="216"/>
      <c r="N225" s="216"/>
      <c r="O225" s="58" t="s">
        <v>64</v>
      </c>
      <c r="P225" s="58" t="s">
        <v>65</v>
      </c>
    </row>
    <row r="226" spans="2:16" x14ac:dyDescent="0.25">
      <c r="B226" s="35" t="s">
        <v>111</v>
      </c>
      <c r="C226" s="35">
        <f>Emprunt!J28</f>
        <v>22400</v>
      </c>
      <c r="D226" s="35"/>
      <c r="E226" s="35"/>
      <c r="F226" s="35"/>
      <c r="G226" s="35"/>
      <c r="H226" s="35"/>
      <c r="I226" s="35"/>
      <c r="J226" s="35"/>
      <c r="K226" s="35"/>
      <c r="L226" s="35"/>
      <c r="M226" s="35"/>
      <c r="N226" s="35"/>
      <c r="O226" s="60" t="s">
        <v>112</v>
      </c>
      <c r="P226" s="61">
        <f>SUM(C226:N226)</f>
        <v>22400</v>
      </c>
    </row>
    <row r="227" spans="2:16" x14ac:dyDescent="0.25">
      <c r="B227" s="34" t="s">
        <v>113</v>
      </c>
      <c r="C227" s="34">
        <f>C226*20%</f>
        <v>4480</v>
      </c>
      <c r="D227" s="34">
        <f t="shared" ref="D227:N227" si="103">D226*20%</f>
        <v>0</v>
      </c>
      <c r="E227" s="34">
        <f t="shared" si="103"/>
        <v>0</v>
      </c>
      <c r="F227" s="34">
        <f t="shared" si="103"/>
        <v>0</v>
      </c>
      <c r="G227" s="34">
        <f t="shared" si="103"/>
        <v>0</v>
      </c>
      <c r="H227" s="34">
        <f t="shared" si="103"/>
        <v>0</v>
      </c>
      <c r="I227" s="34">
        <f t="shared" si="103"/>
        <v>0</v>
      </c>
      <c r="J227" s="34">
        <f t="shared" si="103"/>
        <v>0</v>
      </c>
      <c r="K227" s="34">
        <f t="shared" si="103"/>
        <v>0</v>
      </c>
      <c r="L227" s="34">
        <f t="shared" si="103"/>
        <v>0</v>
      </c>
      <c r="M227" s="34">
        <f t="shared" si="103"/>
        <v>0</v>
      </c>
      <c r="N227" s="34">
        <f t="shared" si="103"/>
        <v>0</v>
      </c>
      <c r="O227" s="34"/>
      <c r="P227" s="34"/>
    </row>
    <row r="228" spans="2:16" x14ac:dyDescent="0.25">
      <c r="B228" s="34" t="s">
        <v>114</v>
      </c>
      <c r="C228" s="34">
        <f>C226+C227</f>
        <v>26880</v>
      </c>
      <c r="D228" s="34">
        <f t="shared" ref="D228:N228" si="104">D226+D227</f>
        <v>0</v>
      </c>
      <c r="E228" s="34">
        <f t="shared" si="104"/>
        <v>0</v>
      </c>
      <c r="F228" s="34">
        <f t="shared" si="104"/>
        <v>0</v>
      </c>
      <c r="G228" s="34">
        <f t="shared" si="104"/>
        <v>0</v>
      </c>
      <c r="H228" s="34">
        <f t="shared" si="104"/>
        <v>0</v>
      </c>
      <c r="I228" s="34">
        <f t="shared" si="104"/>
        <v>0</v>
      </c>
      <c r="J228" s="34">
        <f t="shared" si="104"/>
        <v>0</v>
      </c>
      <c r="K228" s="34">
        <f t="shared" si="104"/>
        <v>0</v>
      </c>
      <c r="L228" s="34">
        <f t="shared" si="104"/>
        <v>0</v>
      </c>
      <c r="M228" s="34">
        <f t="shared" si="104"/>
        <v>0</v>
      </c>
      <c r="N228" s="34">
        <f t="shared" si="104"/>
        <v>0</v>
      </c>
      <c r="O228" s="34"/>
      <c r="P228" s="34"/>
    </row>
    <row r="229" spans="2:16" x14ac:dyDescent="0.25">
      <c r="B229" s="59" t="s">
        <v>81</v>
      </c>
      <c r="C229" s="59">
        <f>C228</f>
        <v>26880</v>
      </c>
      <c r="D229" s="59">
        <f t="shared" ref="D229:N229" si="105">D228</f>
        <v>0</v>
      </c>
      <c r="E229" s="59">
        <f t="shared" si="105"/>
        <v>0</v>
      </c>
      <c r="F229" s="59">
        <f t="shared" si="105"/>
        <v>0</v>
      </c>
      <c r="G229" s="59">
        <f t="shared" si="105"/>
        <v>0</v>
      </c>
      <c r="H229" s="59">
        <f t="shared" si="105"/>
        <v>0</v>
      </c>
      <c r="I229" s="59">
        <f t="shared" si="105"/>
        <v>0</v>
      </c>
      <c r="J229" s="59">
        <f t="shared" si="105"/>
        <v>0</v>
      </c>
      <c r="K229" s="59">
        <f t="shared" si="105"/>
        <v>0</v>
      </c>
      <c r="L229" s="59">
        <f t="shared" si="105"/>
        <v>0</v>
      </c>
      <c r="M229" s="59">
        <f t="shared" si="105"/>
        <v>0</v>
      </c>
      <c r="N229" s="59">
        <f t="shared" si="105"/>
        <v>0</v>
      </c>
      <c r="O229" s="60" t="s">
        <v>115</v>
      </c>
      <c r="P229" s="61">
        <v>0</v>
      </c>
    </row>
    <row r="232" spans="2:16" x14ac:dyDescent="0.25">
      <c r="B232" s="177" t="s">
        <v>162</v>
      </c>
      <c r="C232" s="36"/>
      <c r="D232" s="36"/>
      <c r="E232" s="36"/>
      <c r="F232" s="36"/>
      <c r="G232" s="36"/>
      <c r="H232" s="36"/>
      <c r="I232" s="36"/>
      <c r="J232" s="36"/>
      <c r="K232" s="36"/>
      <c r="L232" s="36"/>
      <c r="M232" s="36"/>
      <c r="N232" s="36"/>
      <c r="O232" s="36"/>
      <c r="P232" s="36"/>
    </row>
    <row r="233" spans="2:16" x14ac:dyDescent="0.25">
      <c r="B233" s="213"/>
      <c r="C233" s="215" t="s">
        <v>50</v>
      </c>
      <c r="D233" s="215" t="s">
        <v>51</v>
      </c>
      <c r="E233" s="215" t="s">
        <v>52</v>
      </c>
      <c r="F233" s="215" t="s">
        <v>53</v>
      </c>
      <c r="G233" s="215" t="s">
        <v>54</v>
      </c>
      <c r="H233" s="215" t="s">
        <v>55</v>
      </c>
      <c r="I233" s="215" t="s">
        <v>56</v>
      </c>
      <c r="J233" s="215" t="s">
        <v>57</v>
      </c>
      <c r="K233" s="215" t="s">
        <v>58</v>
      </c>
      <c r="L233" s="215" t="s">
        <v>59</v>
      </c>
      <c r="M233" s="215" t="s">
        <v>60</v>
      </c>
      <c r="N233" s="215" t="s">
        <v>61</v>
      </c>
      <c r="O233" s="220" t="s">
        <v>62</v>
      </c>
      <c r="P233" s="221"/>
    </row>
    <row r="234" spans="2:16" x14ac:dyDescent="0.25">
      <c r="B234" s="214"/>
      <c r="C234" s="216"/>
      <c r="D234" s="216"/>
      <c r="E234" s="216"/>
      <c r="F234" s="216"/>
      <c r="G234" s="216"/>
      <c r="H234" s="216"/>
      <c r="I234" s="216"/>
      <c r="J234" s="216"/>
      <c r="K234" s="216"/>
      <c r="L234" s="216"/>
      <c r="M234" s="216"/>
      <c r="N234" s="216"/>
      <c r="O234" s="58" t="s">
        <v>64</v>
      </c>
      <c r="P234" s="58" t="s">
        <v>65</v>
      </c>
    </row>
    <row r="235" spans="2:16" x14ac:dyDescent="0.25">
      <c r="B235" s="59" t="s">
        <v>68</v>
      </c>
      <c r="C235" s="59">
        <f>C181</f>
        <v>1114.3693599999999</v>
      </c>
      <c r="D235" s="59">
        <f t="shared" ref="D235:N235" si="106">D181</f>
        <v>1114.3693599999999</v>
      </c>
      <c r="E235" s="59">
        <f t="shared" si="106"/>
        <v>1114.3693599999999</v>
      </c>
      <c r="F235" s="59">
        <f t="shared" si="106"/>
        <v>1114.3693599999999</v>
      </c>
      <c r="G235" s="59">
        <f t="shared" si="106"/>
        <v>1114.3693599999999</v>
      </c>
      <c r="H235" s="59">
        <f t="shared" si="106"/>
        <v>1114.3693599999999</v>
      </c>
      <c r="I235" s="59">
        <f t="shared" si="106"/>
        <v>1114.3693599999999</v>
      </c>
      <c r="J235" s="59">
        <f t="shared" si="106"/>
        <v>1114.3693599999999</v>
      </c>
      <c r="K235" s="59">
        <f t="shared" si="106"/>
        <v>1114.3693599999999</v>
      </c>
      <c r="L235" s="59">
        <f t="shared" si="106"/>
        <v>1114.3693599999999</v>
      </c>
      <c r="M235" s="59">
        <f t="shared" si="106"/>
        <v>1114.3693599999999</v>
      </c>
      <c r="N235" s="59">
        <f t="shared" si="106"/>
        <v>1114.3693599999999</v>
      </c>
      <c r="O235" s="34"/>
      <c r="P235" s="34"/>
    </row>
    <row r="236" spans="2:16" x14ac:dyDescent="0.25">
      <c r="B236" s="34" t="s">
        <v>79</v>
      </c>
      <c r="C236" s="34">
        <f>C190</f>
        <v>378.88558239999998</v>
      </c>
      <c r="D236" s="34">
        <f t="shared" ref="D236:N236" si="107">D190</f>
        <v>378.88558239999998</v>
      </c>
      <c r="E236" s="34">
        <f t="shared" si="107"/>
        <v>378.88558239999998</v>
      </c>
      <c r="F236" s="34">
        <f t="shared" si="107"/>
        <v>378.88558239999998</v>
      </c>
      <c r="G236" s="34">
        <f t="shared" si="107"/>
        <v>378.88558239999998</v>
      </c>
      <c r="H236" s="34">
        <f t="shared" si="107"/>
        <v>378.88558239999998</v>
      </c>
      <c r="I236" s="34">
        <f t="shared" si="107"/>
        <v>378.88558239999998</v>
      </c>
      <c r="J236" s="34">
        <f t="shared" si="107"/>
        <v>378.88558239999998</v>
      </c>
      <c r="K236" s="34">
        <f t="shared" si="107"/>
        <v>378.88558239999998</v>
      </c>
      <c r="L236" s="34">
        <f t="shared" si="107"/>
        <v>378.88558239999998</v>
      </c>
      <c r="M236" s="34">
        <f t="shared" si="107"/>
        <v>378.88558239999998</v>
      </c>
      <c r="N236" s="34">
        <f t="shared" si="107"/>
        <v>378.88558239999998</v>
      </c>
      <c r="O236" s="34"/>
      <c r="P236" s="34"/>
    </row>
    <row r="237" spans="2:16" x14ac:dyDescent="0.25">
      <c r="B237" s="34" t="s">
        <v>86</v>
      </c>
      <c r="C237" s="34">
        <f>C199</f>
        <v>1420</v>
      </c>
      <c r="D237" s="34">
        <f t="shared" ref="D237:N237" si="108">D199</f>
        <v>1420</v>
      </c>
      <c r="E237" s="34">
        <f t="shared" si="108"/>
        <v>1420</v>
      </c>
      <c r="F237" s="34">
        <f t="shared" si="108"/>
        <v>1420</v>
      </c>
      <c r="G237" s="34">
        <f t="shared" si="108"/>
        <v>1420</v>
      </c>
      <c r="H237" s="34">
        <f t="shared" si="108"/>
        <v>1420</v>
      </c>
      <c r="I237" s="34">
        <f t="shared" si="108"/>
        <v>1420</v>
      </c>
      <c r="J237" s="34">
        <f t="shared" si="108"/>
        <v>1420</v>
      </c>
      <c r="K237" s="34">
        <f t="shared" si="108"/>
        <v>1420</v>
      </c>
      <c r="L237" s="34">
        <f t="shared" si="108"/>
        <v>1420</v>
      </c>
      <c r="M237" s="34">
        <f t="shared" si="108"/>
        <v>1420</v>
      </c>
      <c r="N237" s="34">
        <f t="shared" si="108"/>
        <v>1420</v>
      </c>
      <c r="O237" s="34"/>
      <c r="P237" s="34"/>
    </row>
    <row r="238" spans="2:16" x14ac:dyDescent="0.25">
      <c r="B238" s="59" t="s">
        <v>113</v>
      </c>
      <c r="C238" s="59">
        <f>C227</f>
        <v>4480</v>
      </c>
      <c r="D238" s="59">
        <f t="shared" ref="D238:N238" si="109">D227</f>
        <v>0</v>
      </c>
      <c r="E238" s="59">
        <f t="shared" si="109"/>
        <v>0</v>
      </c>
      <c r="F238" s="59">
        <f t="shared" si="109"/>
        <v>0</v>
      </c>
      <c r="G238" s="59">
        <f t="shared" si="109"/>
        <v>0</v>
      </c>
      <c r="H238" s="59">
        <f>H227</f>
        <v>0</v>
      </c>
      <c r="I238" s="59">
        <f t="shared" si="109"/>
        <v>0</v>
      </c>
      <c r="J238" s="59">
        <f t="shared" si="109"/>
        <v>0</v>
      </c>
      <c r="K238" s="59">
        <f t="shared" si="109"/>
        <v>0</v>
      </c>
      <c r="L238" s="59">
        <f t="shared" si="109"/>
        <v>0</v>
      </c>
      <c r="M238" s="59">
        <f t="shared" si="109"/>
        <v>0</v>
      </c>
      <c r="N238" s="59">
        <f t="shared" si="109"/>
        <v>0</v>
      </c>
      <c r="O238" s="34"/>
      <c r="P238" s="34"/>
    </row>
    <row r="239" spans="2:16" x14ac:dyDescent="0.25">
      <c r="B239" s="44" t="s">
        <v>117</v>
      </c>
      <c r="C239" s="42">
        <f>C236+C237+C238</f>
        <v>6278.8855824000002</v>
      </c>
      <c r="D239" s="42">
        <f t="shared" ref="D239:N239" si="110">D236+D237+D238</f>
        <v>1798.8855824</v>
      </c>
      <c r="E239" s="42">
        <f t="shared" si="110"/>
        <v>1798.8855824</v>
      </c>
      <c r="F239" s="42">
        <f t="shared" si="110"/>
        <v>1798.8855824</v>
      </c>
      <c r="G239" s="42">
        <f t="shared" si="110"/>
        <v>1798.8855824</v>
      </c>
      <c r="H239" s="42">
        <f t="shared" si="110"/>
        <v>1798.8855824</v>
      </c>
      <c r="I239" s="42">
        <f t="shared" si="110"/>
        <v>1798.8855824</v>
      </c>
      <c r="J239" s="42">
        <f t="shared" si="110"/>
        <v>1798.8855824</v>
      </c>
      <c r="K239" s="42">
        <f t="shared" si="110"/>
        <v>1798.8855824</v>
      </c>
      <c r="L239" s="42">
        <f t="shared" si="110"/>
        <v>1798.8855824</v>
      </c>
      <c r="M239" s="42">
        <f t="shared" si="110"/>
        <v>1798.8855824</v>
      </c>
      <c r="N239" s="42">
        <f t="shared" si="110"/>
        <v>1798.8855824</v>
      </c>
      <c r="O239" s="34"/>
      <c r="P239" s="34"/>
    </row>
    <row r="240" spans="2:16" x14ac:dyDescent="0.25">
      <c r="B240" s="45" t="s">
        <v>118</v>
      </c>
      <c r="C240" s="43">
        <f>C235-C239</f>
        <v>-5164.5162224000005</v>
      </c>
      <c r="D240" s="43">
        <f t="shared" ref="D240:N240" si="111">D235-D239</f>
        <v>-684.51622240000006</v>
      </c>
      <c r="E240" s="43">
        <f t="shared" si="111"/>
        <v>-684.51622240000006</v>
      </c>
      <c r="F240" s="43">
        <f t="shared" si="111"/>
        <v>-684.51622240000006</v>
      </c>
      <c r="G240" s="43">
        <f t="shared" si="111"/>
        <v>-684.51622240000006</v>
      </c>
      <c r="H240" s="43">
        <f t="shared" si="111"/>
        <v>-684.51622240000006</v>
      </c>
      <c r="I240" s="43">
        <f t="shared" si="111"/>
        <v>-684.51622240000006</v>
      </c>
      <c r="J240" s="43">
        <f t="shared" si="111"/>
        <v>-684.51622240000006</v>
      </c>
      <c r="K240" s="43">
        <f t="shared" si="111"/>
        <v>-684.51622240000006</v>
      </c>
      <c r="L240" s="43">
        <f t="shared" si="111"/>
        <v>-684.51622240000006</v>
      </c>
      <c r="M240" s="43">
        <f t="shared" si="111"/>
        <v>-684.51622240000006</v>
      </c>
      <c r="N240" s="43">
        <f t="shared" si="111"/>
        <v>-684.51622240000006</v>
      </c>
      <c r="O240" s="34"/>
      <c r="P240" s="34"/>
    </row>
    <row r="241" spans="2:16" x14ac:dyDescent="0.25">
      <c r="B241" s="59" t="s">
        <v>81</v>
      </c>
      <c r="C241" s="59">
        <f>P152</f>
        <v>-684.2998399999999</v>
      </c>
      <c r="D241" s="59">
        <f>C240</f>
        <v>-5164.5162224000005</v>
      </c>
      <c r="E241" s="59">
        <f t="shared" ref="E241:N241" si="112">D240</f>
        <v>-684.51622240000006</v>
      </c>
      <c r="F241" s="59">
        <f t="shared" si="112"/>
        <v>-684.51622240000006</v>
      </c>
      <c r="G241" s="59">
        <f t="shared" si="112"/>
        <v>-684.51622240000006</v>
      </c>
      <c r="H241" s="59">
        <f t="shared" si="112"/>
        <v>-684.51622240000006</v>
      </c>
      <c r="I241" s="59">
        <f t="shared" si="112"/>
        <v>-684.51622240000006</v>
      </c>
      <c r="J241" s="59">
        <f t="shared" si="112"/>
        <v>-684.51622240000006</v>
      </c>
      <c r="K241" s="59">
        <f t="shared" si="112"/>
        <v>-684.51622240000006</v>
      </c>
      <c r="L241" s="59">
        <f t="shared" si="112"/>
        <v>-684.51622240000006</v>
      </c>
      <c r="M241" s="59">
        <f t="shared" si="112"/>
        <v>-684.51622240000006</v>
      </c>
      <c r="N241" s="59">
        <f t="shared" si="112"/>
        <v>-684.51622240000006</v>
      </c>
      <c r="O241" s="60" t="s">
        <v>119</v>
      </c>
      <c r="P241" s="61">
        <f>N240</f>
        <v>-684.51622240000006</v>
      </c>
    </row>
    <row r="244" spans="2:16" x14ac:dyDescent="0.25">
      <c r="B244" s="177" t="s">
        <v>163</v>
      </c>
      <c r="C244" s="36"/>
      <c r="D244" s="36"/>
      <c r="E244" s="36"/>
      <c r="F244" s="36"/>
      <c r="G244" s="36"/>
      <c r="H244" s="36"/>
      <c r="I244" s="36"/>
      <c r="J244" s="36"/>
      <c r="K244" s="36"/>
      <c r="L244" s="36"/>
      <c r="M244" s="36"/>
      <c r="N244" s="36"/>
      <c r="O244" s="36"/>
      <c r="P244" s="36"/>
    </row>
    <row r="245" spans="2:16" x14ac:dyDescent="0.25">
      <c r="B245" s="213"/>
      <c r="C245" s="215" t="s">
        <v>50</v>
      </c>
      <c r="D245" s="215" t="s">
        <v>51</v>
      </c>
      <c r="E245" s="215" t="s">
        <v>52</v>
      </c>
      <c r="F245" s="215" t="s">
        <v>53</v>
      </c>
      <c r="G245" s="215" t="s">
        <v>54</v>
      </c>
      <c r="H245" s="215" t="s">
        <v>55</v>
      </c>
      <c r="I245" s="215" t="s">
        <v>56</v>
      </c>
      <c r="J245" s="215" t="s">
        <v>57</v>
      </c>
      <c r="K245" s="215" t="s">
        <v>58</v>
      </c>
      <c r="L245" s="215" t="s">
        <v>59</v>
      </c>
      <c r="M245" s="215" t="s">
        <v>60</v>
      </c>
      <c r="N245" s="215" t="s">
        <v>61</v>
      </c>
      <c r="O245" s="220" t="s">
        <v>62</v>
      </c>
      <c r="P245" s="221"/>
    </row>
    <row r="246" spans="2:16" x14ac:dyDescent="0.25">
      <c r="B246" s="214"/>
      <c r="C246" s="216"/>
      <c r="D246" s="216"/>
      <c r="E246" s="216"/>
      <c r="F246" s="216"/>
      <c r="G246" s="216"/>
      <c r="H246" s="216"/>
      <c r="I246" s="216"/>
      <c r="J246" s="216"/>
      <c r="K246" s="216"/>
      <c r="L246" s="216"/>
      <c r="M246" s="216"/>
      <c r="N246" s="216"/>
      <c r="O246" s="58" t="s">
        <v>64</v>
      </c>
      <c r="P246" s="58" t="s">
        <v>65</v>
      </c>
    </row>
    <row r="247" spans="2:16" x14ac:dyDescent="0.25">
      <c r="B247" s="35" t="s">
        <v>121</v>
      </c>
      <c r="C247" s="35">
        <f>C183</f>
        <v>6491.4720000000007</v>
      </c>
      <c r="D247" s="35">
        <f t="shared" ref="D247:N247" si="113">D183</f>
        <v>6686.216159999999</v>
      </c>
      <c r="E247" s="35">
        <f t="shared" si="113"/>
        <v>6686.216159999999</v>
      </c>
      <c r="F247" s="35">
        <f t="shared" si="113"/>
        <v>6686.216159999999</v>
      </c>
      <c r="G247" s="35">
        <f t="shared" si="113"/>
        <v>6686.216159999999</v>
      </c>
      <c r="H247" s="35">
        <f t="shared" si="113"/>
        <v>6686.216159999999</v>
      </c>
      <c r="I247" s="35">
        <f t="shared" si="113"/>
        <v>6686.216159999999</v>
      </c>
      <c r="J247" s="43">
        <f t="shared" si="113"/>
        <v>6686.216159999999</v>
      </c>
      <c r="K247" s="35">
        <f t="shared" si="113"/>
        <v>6686.216159999999</v>
      </c>
      <c r="L247" s="35">
        <f t="shared" si="113"/>
        <v>6686.216159999999</v>
      </c>
      <c r="M247" s="35">
        <f t="shared" si="113"/>
        <v>6686.216159999999</v>
      </c>
      <c r="N247" s="35">
        <f t="shared" si="113"/>
        <v>6686.216159999999</v>
      </c>
      <c r="O247" s="34"/>
      <c r="P247" s="34"/>
    </row>
    <row r="248" spans="2:16" x14ac:dyDescent="0.25">
      <c r="B248" s="34" t="s">
        <v>122</v>
      </c>
      <c r="C248" s="34"/>
      <c r="D248" s="34"/>
      <c r="E248" s="34"/>
      <c r="F248" s="34"/>
      <c r="G248" s="34"/>
      <c r="H248" s="34"/>
      <c r="I248" s="34"/>
      <c r="J248" s="34"/>
      <c r="K248" s="34"/>
      <c r="L248" s="34"/>
      <c r="M248" s="34"/>
      <c r="N248" s="34"/>
      <c r="O248" s="34"/>
      <c r="P248" s="34"/>
    </row>
    <row r="249" spans="2:16" x14ac:dyDescent="0.25">
      <c r="B249" s="59" t="s">
        <v>123</v>
      </c>
      <c r="C249" s="59">
        <f>C248+C247</f>
        <v>6491.4720000000007</v>
      </c>
      <c r="D249" s="59">
        <f t="shared" ref="D249:N249" si="114">D248+D247</f>
        <v>6686.216159999999</v>
      </c>
      <c r="E249" s="59">
        <f t="shared" si="114"/>
        <v>6686.216159999999</v>
      </c>
      <c r="F249" s="59">
        <f t="shared" si="114"/>
        <v>6686.216159999999</v>
      </c>
      <c r="G249" s="59">
        <f t="shared" si="114"/>
        <v>6686.216159999999</v>
      </c>
      <c r="H249" s="59">
        <f t="shared" si="114"/>
        <v>6686.216159999999</v>
      </c>
      <c r="I249" s="59">
        <f t="shared" si="114"/>
        <v>6686.216159999999</v>
      </c>
      <c r="J249" s="59">
        <f t="shared" si="114"/>
        <v>6686.216159999999</v>
      </c>
      <c r="K249" s="59">
        <f t="shared" si="114"/>
        <v>6686.216159999999</v>
      </c>
      <c r="L249" s="59">
        <f t="shared" si="114"/>
        <v>6686.216159999999</v>
      </c>
      <c r="M249" s="59">
        <f t="shared" si="114"/>
        <v>6686.216159999999</v>
      </c>
      <c r="N249" s="59">
        <f t="shared" si="114"/>
        <v>6686.216159999999</v>
      </c>
      <c r="O249" s="34"/>
      <c r="P249" s="34"/>
    </row>
    <row r="250" spans="2:16" x14ac:dyDescent="0.25">
      <c r="B250" s="39" t="s">
        <v>124</v>
      </c>
      <c r="C250" s="41">
        <f>C192</f>
        <v>2273.3134943999999</v>
      </c>
      <c r="D250" s="41">
        <f t="shared" ref="D250:N250" si="115">D192</f>
        <v>2273.3134943999999</v>
      </c>
      <c r="E250" s="41">
        <f t="shared" si="115"/>
        <v>2273.3134943999999</v>
      </c>
      <c r="F250" s="41">
        <f t="shared" si="115"/>
        <v>2273.3134943999999</v>
      </c>
      <c r="G250" s="41">
        <f t="shared" si="115"/>
        <v>2273.3134943999999</v>
      </c>
      <c r="H250" s="41">
        <f t="shared" si="115"/>
        <v>2273.3134943999999</v>
      </c>
      <c r="I250" s="41">
        <f t="shared" si="115"/>
        <v>2273.3134943999999</v>
      </c>
      <c r="J250" s="41">
        <f t="shared" si="115"/>
        <v>2273.3134943999999</v>
      </c>
      <c r="K250" s="41">
        <f t="shared" si="115"/>
        <v>2273.3134943999999</v>
      </c>
      <c r="L250" s="41">
        <f t="shared" si="115"/>
        <v>2273.3134943999999</v>
      </c>
      <c r="M250" s="41">
        <f t="shared" si="115"/>
        <v>2273.3134943999999</v>
      </c>
      <c r="N250" s="41">
        <f t="shared" si="115"/>
        <v>2273.3134943999999</v>
      </c>
      <c r="O250" s="34"/>
      <c r="P250" s="34"/>
    </row>
    <row r="251" spans="2:16" x14ac:dyDescent="0.25">
      <c r="B251" s="39" t="s">
        <v>125</v>
      </c>
      <c r="C251" s="41"/>
      <c r="D251" s="41"/>
      <c r="E251" s="41"/>
      <c r="F251" s="41"/>
      <c r="G251" s="41"/>
      <c r="H251" s="41"/>
      <c r="I251" s="41"/>
      <c r="J251" s="41"/>
      <c r="K251" s="41"/>
      <c r="L251" s="41"/>
      <c r="M251" s="41"/>
      <c r="N251" s="41"/>
      <c r="O251" s="34"/>
      <c r="P251" s="34"/>
    </row>
    <row r="252" spans="2:16" x14ac:dyDescent="0.25">
      <c r="B252" s="39" t="s">
        <v>126</v>
      </c>
      <c r="C252" s="41">
        <f>C208</f>
        <v>25625</v>
      </c>
      <c r="D252" s="41">
        <f t="shared" ref="D252:N252" si="116">D208</f>
        <v>25625</v>
      </c>
      <c r="E252" s="41">
        <f t="shared" si="116"/>
        <v>25625</v>
      </c>
      <c r="F252" s="41">
        <f t="shared" si="116"/>
        <v>25625</v>
      </c>
      <c r="G252" s="41">
        <f t="shared" si="116"/>
        <v>25625</v>
      </c>
      <c r="H252" s="41">
        <f t="shared" si="116"/>
        <v>25625</v>
      </c>
      <c r="I252" s="41">
        <f t="shared" si="116"/>
        <v>25625</v>
      </c>
      <c r="J252" s="41">
        <f t="shared" si="116"/>
        <v>25625</v>
      </c>
      <c r="K252" s="41">
        <f t="shared" si="116"/>
        <v>25625</v>
      </c>
      <c r="L252" s="41">
        <f t="shared" si="116"/>
        <v>25625</v>
      </c>
      <c r="M252" s="41">
        <f t="shared" si="116"/>
        <v>25625</v>
      </c>
      <c r="N252" s="41">
        <f t="shared" si="116"/>
        <v>25625</v>
      </c>
      <c r="O252" s="34"/>
      <c r="P252" s="34"/>
    </row>
    <row r="253" spans="2:16" x14ac:dyDescent="0.25">
      <c r="B253" s="39" t="s">
        <v>21</v>
      </c>
      <c r="C253" s="41">
        <f>C210</f>
        <v>10250</v>
      </c>
      <c r="D253" s="41">
        <f t="shared" ref="D253:N253" si="117">D210</f>
        <v>10250</v>
      </c>
      <c r="E253" s="41">
        <f t="shared" si="117"/>
        <v>10250</v>
      </c>
      <c r="F253" s="41">
        <f t="shared" si="117"/>
        <v>10250</v>
      </c>
      <c r="G253" s="41">
        <f t="shared" si="117"/>
        <v>10250</v>
      </c>
      <c r="H253" s="41">
        <f t="shared" si="117"/>
        <v>10250</v>
      </c>
      <c r="I253" s="41">
        <f t="shared" si="117"/>
        <v>10250</v>
      </c>
      <c r="J253" s="41">
        <f t="shared" si="117"/>
        <v>10250</v>
      </c>
      <c r="K253" s="41">
        <f t="shared" si="117"/>
        <v>10250</v>
      </c>
      <c r="L253" s="41">
        <f t="shared" si="117"/>
        <v>10250</v>
      </c>
      <c r="M253" s="41">
        <f t="shared" si="117"/>
        <v>10250</v>
      </c>
      <c r="N253" s="41">
        <f t="shared" si="117"/>
        <v>10250</v>
      </c>
      <c r="O253" s="34"/>
      <c r="P253" s="34"/>
    </row>
    <row r="254" spans="2:16" x14ac:dyDescent="0.25">
      <c r="B254" s="39" t="s">
        <v>102</v>
      </c>
      <c r="C254" s="41">
        <f t="shared" ref="C254:N254" si="118">C217</f>
        <v>0</v>
      </c>
      <c r="D254" s="41">
        <f t="shared" si="118"/>
        <v>0</v>
      </c>
      <c r="E254" s="41">
        <f t="shared" si="118"/>
        <v>0</v>
      </c>
      <c r="F254" s="41">
        <f t="shared" si="118"/>
        <v>0</v>
      </c>
      <c r="G254" s="41">
        <f t="shared" si="118"/>
        <v>0</v>
      </c>
      <c r="H254" s="41">
        <f t="shared" si="118"/>
        <v>0</v>
      </c>
      <c r="I254" s="41">
        <f t="shared" si="118"/>
        <v>0</v>
      </c>
      <c r="J254" s="41">
        <f t="shared" si="118"/>
        <v>0</v>
      </c>
      <c r="K254" s="41">
        <f t="shared" si="118"/>
        <v>0</v>
      </c>
      <c r="L254" s="41">
        <f t="shared" si="118"/>
        <v>8200</v>
      </c>
      <c r="M254" s="41">
        <f t="shared" si="118"/>
        <v>0</v>
      </c>
      <c r="N254" s="41">
        <f t="shared" si="118"/>
        <v>0</v>
      </c>
      <c r="O254" s="34"/>
      <c r="P254" s="34"/>
    </row>
    <row r="255" spans="2:16" x14ac:dyDescent="0.25">
      <c r="B255" s="39" t="s">
        <v>127</v>
      </c>
      <c r="C255" s="41">
        <f>C201</f>
        <v>8520</v>
      </c>
      <c r="D255" s="41">
        <f t="shared" ref="D255:N255" si="119">D201</f>
        <v>8520</v>
      </c>
      <c r="E255" s="41">
        <f t="shared" si="119"/>
        <v>8520</v>
      </c>
      <c r="F255" s="41">
        <f t="shared" si="119"/>
        <v>8520</v>
      </c>
      <c r="G255" s="41">
        <f t="shared" si="119"/>
        <v>8520</v>
      </c>
      <c r="H255" s="41">
        <f t="shared" si="119"/>
        <v>8520</v>
      </c>
      <c r="I255" s="41">
        <f t="shared" si="119"/>
        <v>8520</v>
      </c>
      <c r="J255" s="41">
        <f t="shared" si="119"/>
        <v>8520</v>
      </c>
      <c r="K255" s="41">
        <f t="shared" si="119"/>
        <v>8520</v>
      </c>
      <c r="L255" s="41">
        <f t="shared" si="119"/>
        <v>8520</v>
      </c>
      <c r="M255" s="41">
        <f t="shared" si="119"/>
        <v>8520</v>
      </c>
      <c r="N255" s="41">
        <f t="shared" si="119"/>
        <v>8520</v>
      </c>
      <c r="O255" s="34"/>
      <c r="P255" s="34"/>
    </row>
    <row r="256" spans="2:16" x14ac:dyDescent="0.25">
      <c r="B256" s="39" t="s">
        <v>128</v>
      </c>
      <c r="C256" s="41">
        <f t="shared" ref="C256:N256" si="120">C220</f>
        <v>2675</v>
      </c>
      <c r="D256" s="41">
        <f t="shared" si="120"/>
        <v>2675</v>
      </c>
      <c r="E256" s="41">
        <f t="shared" si="120"/>
        <v>2675</v>
      </c>
      <c r="F256" s="41">
        <f t="shared" si="120"/>
        <v>2675</v>
      </c>
      <c r="G256" s="41">
        <f t="shared" si="120"/>
        <v>2675</v>
      </c>
      <c r="H256" s="41">
        <f t="shared" si="120"/>
        <v>2675</v>
      </c>
      <c r="I256" s="41">
        <f t="shared" si="120"/>
        <v>2675</v>
      </c>
      <c r="J256" s="41">
        <f t="shared" si="120"/>
        <v>2675</v>
      </c>
      <c r="K256" s="41">
        <f t="shared" si="120"/>
        <v>2675</v>
      </c>
      <c r="L256" s="41">
        <f t="shared" si="120"/>
        <v>2675</v>
      </c>
      <c r="M256" s="41">
        <f t="shared" si="120"/>
        <v>2675</v>
      </c>
      <c r="N256" s="41">
        <f t="shared" si="120"/>
        <v>2675</v>
      </c>
      <c r="O256" s="34"/>
      <c r="P256" s="34"/>
    </row>
    <row r="257" spans="2:16" x14ac:dyDescent="0.25">
      <c r="B257" s="39" t="s">
        <v>129</v>
      </c>
      <c r="C257" s="41">
        <f>C228</f>
        <v>26880</v>
      </c>
      <c r="D257" s="41">
        <f t="shared" ref="D257:N257" si="121">D228</f>
        <v>0</v>
      </c>
      <c r="E257" s="41">
        <f t="shared" si="121"/>
        <v>0</v>
      </c>
      <c r="F257" s="41">
        <f t="shared" si="121"/>
        <v>0</v>
      </c>
      <c r="G257" s="41">
        <f t="shared" si="121"/>
        <v>0</v>
      </c>
      <c r="H257" s="41">
        <f>H228</f>
        <v>0</v>
      </c>
      <c r="I257" s="41">
        <f t="shared" si="121"/>
        <v>0</v>
      </c>
      <c r="J257" s="41">
        <f t="shared" si="121"/>
        <v>0</v>
      </c>
      <c r="K257" s="41">
        <f t="shared" si="121"/>
        <v>0</v>
      </c>
      <c r="L257" s="41">
        <f t="shared" si="121"/>
        <v>0</v>
      </c>
      <c r="M257" s="41">
        <f t="shared" si="121"/>
        <v>0</v>
      </c>
      <c r="N257" s="41">
        <f t="shared" si="121"/>
        <v>0</v>
      </c>
      <c r="O257" s="34"/>
      <c r="P257" s="34"/>
    </row>
    <row r="258" spans="2:16" x14ac:dyDescent="0.25">
      <c r="B258" s="39" t="s">
        <v>130</v>
      </c>
      <c r="C258" s="41">
        <f t="shared" ref="C258:N258" si="122">C241</f>
        <v>-684.2998399999999</v>
      </c>
      <c r="D258" s="41">
        <f t="shared" si="122"/>
        <v>-5164.5162224000005</v>
      </c>
      <c r="E258" s="41">
        <f t="shared" si="122"/>
        <v>-684.51622240000006</v>
      </c>
      <c r="F258" s="41">
        <f t="shared" si="122"/>
        <v>-684.51622240000006</v>
      </c>
      <c r="G258" s="41">
        <f t="shared" si="122"/>
        <v>-684.51622240000006</v>
      </c>
      <c r="H258" s="41">
        <f t="shared" si="122"/>
        <v>-684.51622240000006</v>
      </c>
      <c r="I258" s="41">
        <f t="shared" si="122"/>
        <v>-684.51622240000006</v>
      </c>
      <c r="J258" s="41">
        <f t="shared" si="122"/>
        <v>-684.51622240000006</v>
      </c>
      <c r="K258" s="41">
        <f t="shared" si="122"/>
        <v>-684.51622240000006</v>
      </c>
      <c r="L258" s="41">
        <f t="shared" si="122"/>
        <v>-684.51622240000006</v>
      </c>
      <c r="M258" s="41">
        <f t="shared" si="122"/>
        <v>-684.51622240000006</v>
      </c>
      <c r="N258" s="41">
        <f t="shared" si="122"/>
        <v>-684.51622240000006</v>
      </c>
      <c r="O258" s="34"/>
      <c r="P258" s="34"/>
    </row>
    <row r="259" spans="2:16" x14ac:dyDescent="0.25">
      <c r="B259" s="59" t="s">
        <v>131</v>
      </c>
      <c r="C259" s="59">
        <f>SUM(C250:C258)</f>
        <v>75539.013654399998</v>
      </c>
      <c r="D259" s="59">
        <f t="shared" ref="D259:N259" si="123">SUM(D250:D258)</f>
        <v>44178.797272000003</v>
      </c>
      <c r="E259" s="59">
        <f t="shared" si="123"/>
        <v>48658.797272000003</v>
      </c>
      <c r="F259" s="59">
        <f t="shared" si="123"/>
        <v>48658.797272000003</v>
      </c>
      <c r="G259" s="59">
        <f t="shared" si="123"/>
        <v>48658.797272000003</v>
      </c>
      <c r="H259" s="59">
        <f t="shared" si="123"/>
        <v>48658.797272000003</v>
      </c>
      <c r="I259" s="59">
        <f t="shared" si="123"/>
        <v>48658.797272000003</v>
      </c>
      <c r="J259" s="59">
        <f t="shared" si="123"/>
        <v>48658.797272000003</v>
      </c>
      <c r="K259" s="59">
        <f t="shared" si="123"/>
        <v>48658.797272000003</v>
      </c>
      <c r="L259" s="59">
        <f t="shared" si="123"/>
        <v>56858.797272000003</v>
      </c>
      <c r="M259" s="59">
        <f t="shared" si="123"/>
        <v>48658.797272000003</v>
      </c>
      <c r="N259" s="59">
        <f t="shared" si="123"/>
        <v>48658.797272000003</v>
      </c>
      <c r="O259" s="34"/>
      <c r="P259" s="34"/>
    </row>
    <row r="260" spans="2:16" x14ac:dyDescent="0.25">
      <c r="B260" s="59" t="s">
        <v>132</v>
      </c>
      <c r="C260" s="59">
        <f>V123</f>
        <v>-1036466.9622399994</v>
      </c>
      <c r="D260" s="59">
        <f>C262</f>
        <v>-1105514.5038943994</v>
      </c>
      <c r="E260" s="59">
        <f t="shared" ref="E260:N260" si="124">D262</f>
        <v>-1143007.0850063993</v>
      </c>
      <c r="F260" s="59">
        <f t="shared" si="124"/>
        <v>-1184979.6661183992</v>
      </c>
      <c r="G260" s="59">
        <f t="shared" si="124"/>
        <v>-1226952.2472303992</v>
      </c>
      <c r="H260" s="59">
        <f t="shared" si="124"/>
        <v>-1268924.8283423991</v>
      </c>
      <c r="I260" s="59">
        <f t="shared" si="124"/>
        <v>-1310897.409454399</v>
      </c>
      <c r="J260" s="59">
        <f t="shared" si="124"/>
        <v>-1352869.9905663989</v>
      </c>
      <c r="K260" s="59">
        <f t="shared" si="124"/>
        <v>-1394842.5716783989</v>
      </c>
      <c r="L260" s="59">
        <f t="shared" si="124"/>
        <v>-1436815.1527903988</v>
      </c>
      <c r="M260" s="59">
        <f t="shared" si="124"/>
        <v>-1486987.7339023987</v>
      </c>
      <c r="N260" s="59">
        <f t="shared" si="124"/>
        <v>-1528960.3150143987</v>
      </c>
      <c r="O260" s="34"/>
      <c r="P260" s="34"/>
    </row>
    <row r="261" spans="2:16" x14ac:dyDescent="0.25">
      <c r="B261" s="34" t="s">
        <v>133</v>
      </c>
      <c r="C261" s="34">
        <f t="shared" ref="C261:N261" si="125">C249-C259</f>
        <v>-69047.541654400004</v>
      </c>
      <c r="D261" s="34">
        <f t="shared" si="125"/>
        <v>-37492.581112000007</v>
      </c>
      <c r="E261" s="34">
        <f t="shared" si="125"/>
        <v>-41972.581112000007</v>
      </c>
      <c r="F261" s="34">
        <f t="shared" si="125"/>
        <v>-41972.581112000007</v>
      </c>
      <c r="G261" s="34">
        <f t="shared" si="125"/>
        <v>-41972.581112000007</v>
      </c>
      <c r="H261" s="34">
        <f t="shared" si="125"/>
        <v>-41972.581112000007</v>
      </c>
      <c r="I261" s="34">
        <f t="shared" si="125"/>
        <v>-41972.581112000007</v>
      </c>
      <c r="J261" s="34">
        <f t="shared" si="125"/>
        <v>-41972.581112000007</v>
      </c>
      <c r="K261" s="34">
        <f t="shared" si="125"/>
        <v>-41972.581112000007</v>
      </c>
      <c r="L261" s="34">
        <f t="shared" si="125"/>
        <v>-50172.581112000007</v>
      </c>
      <c r="M261" s="34">
        <f t="shared" si="125"/>
        <v>-41972.581112000007</v>
      </c>
      <c r="N261" s="34">
        <f t="shared" si="125"/>
        <v>-41972.581112000007</v>
      </c>
      <c r="O261" s="34"/>
      <c r="P261" s="34"/>
    </row>
    <row r="262" spans="2:16" x14ac:dyDescent="0.25">
      <c r="B262" s="59" t="s">
        <v>134</v>
      </c>
      <c r="C262" s="59">
        <f>C260+C261</f>
        <v>-1105514.5038943994</v>
      </c>
      <c r="D262" s="59">
        <f t="shared" ref="D262:N262" si="126">D260+D261</f>
        <v>-1143007.0850063993</v>
      </c>
      <c r="E262" s="59">
        <f t="shared" si="126"/>
        <v>-1184979.6661183992</v>
      </c>
      <c r="F262" s="59">
        <f t="shared" si="126"/>
        <v>-1226952.2472303992</v>
      </c>
      <c r="G262" s="59">
        <f t="shared" si="126"/>
        <v>-1268924.8283423991</v>
      </c>
      <c r="H262" s="59">
        <f t="shared" si="126"/>
        <v>-1310897.409454399</v>
      </c>
      <c r="I262" s="59">
        <f t="shared" si="126"/>
        <v>-1352869.9905663989</v>
      </c>
      <c r="J262" s="59">
        <f t="shared" si="126"/>
        <v>-1394842.5716783989</v>
      </c>
      <c r="K262" s="59">
        <f t="shared" si="126"/>
        <v>-1436815.1527903988</v>
      </c>
      <c r="L262" s="59">
        <f t="shared" si="126"/>
        <v>-1486987.7339023987</v>
      </c>
      <c r="M262" s="59">
        <f t="shared" si="126"/>
        <v>-1528960.3150143987</v>
      </c>
      <c r="N262" s="59">
        <f t="shared" si="126"/>
        <v>-1570932.8961263986</v>
      </c>
      <c r="O262" s="60" t="s">
        <v>164</v>
      </c>
      <c r="P262" s="61">
        <f>N262</f>
        <v>-1570932.8961263986</v>
      </c>
    </row>
  </sheetData>
  <mergeCells count="319">
    <mergeCell ref="K245:K246"/>
    <mergeCell ref="L245:L246"/>
    <mergeCell ref="M245:M246"/>
    <mergeCell ref="N245:N246"/>
    <mergeCell ref="O245:P245"/>
    <mergeCell ref="S201:X201"/>
    <mergeCell ref="S178:T178"/>
    <mergeCell ref="B245:B246"/>
    <mergeCell ref="C245:C246"/>
    <mergeCell ref="D245:D246"/>
    <mergeCell ref="E245:E246"/>
    <mergeCell ref="F245:F246"/>
    <mergeCell ref="G245:G246"/>
    <mergeCell ref="H245:H246"/>
    <mergeCell ref="I245:I246"/>
    <mergeCell ref="J245:J246"/>
    <mergeCell ref="K224:K225"/>
    <mergeCell ref="L224:L225"/>
    <mergeCell ref="M224:M225"/>
    <mergeCell ref="N224:N225"/>
    <mergeCell ref="O224:P224"/>
    <mergeCell ref="B233:B234"/>
    <mergeCell ref="C233:C234"/>
    <mergeCell ref="M233:M234"/>
    <mergeCell ref="N233:N234"/>
    <mergeCell ref="O233:P233"/>
    <mergeCell ref="B224:B225"/>
    <mergeCell ref="C224:C225"/>
    <mergeCell ref="D224:D225"/>
    <mergeCell ref="E224:E225"/>
    <mergeCell ref="F224:F225"/>
    <mergeCell ref="G224:G225"/>
    <mergeCell ref="H224:H225"/>
    <mergeCell ref="I224:I225"/>
    <mergeCell ref="J224:J225"/>
    <mergeCell ref="D233:D234"/>
    <mergeCell ref="E233:E234"/>
    <mergeCell ref="F233:F234"/>
    <mergeCell ref="G233:G234"/>
    <mergeCell ref="H233:H234"/>
    <mergeCell ref="I233:I234"/>
    <mergeCell ref="J233:J234"/>
    <mergeCell ref="K233:K234"/>
    <mergeCell ref="L233:L234"/>
    <mergeCell ref="B213:P213"/>
    <mergeCell ref="B214:B215"/>
    <mergeCell ref="C214:C215"/>
    <mergeCell ref="D214:D215"/>
    <mergeCell ref="E214:E215"/>
    <mergeCell ref="F214:F215"/>
    <mergeCell ref="G214:G215"/>
    <mergeCell ref="H214:H215"/>
    <mergeCell ref="I214:I215"/>
    <mergeCell ref="J214:J215"/>
    <mergeCell ref="K214:K215"/>
    <mergeCell ref="L214:L215"/>
    <mergeCell ref="M214:M215"/>
    <mergeCell ref="N214:N215"/>
    <mergeCell ref="O214:P214"/>
    <mergeCell ref="B195:P195"/>
    <mergeCell ref="B196:B197"/>
    <mergeCell ref="C196:C197"/>
    <mergeCell ref="D196:D197"/>
    <mergeCell ref="E196:E197"/>
    <mergeCell ref="F196:F197"/>
    <mergeCell ref="G196:G197"/>
    <mergeCell ref="H196:H197"/>
    <mergeCell ref="I196:I197"/>
    <mergeCell ref="J196:J197"/>
    <mergeCell ref="K196:K197"/>
    <mergeCell ref="L196:L197"/>
    <mergeCell ref="M196:M197"/>
    <mergeCell ref="N196:N197"/>
    <mergeCell ref="O196:P196"/>
    <mergeCell ref="B186:P186"/>
    <mergeCell ref="B187:B188"/>
    <mergeCell ref="C187:C188"/>
    <mergeCell ref="D187:D188"/>
    <mergeCell ref="E187:E188"/>
    <mergeCell ref="F187:F188"/>
    <mergeCell ref="G187:G188"/>
    <mergeCell ref="H187:H188"/>
    <mergeCell ref="I187:I188"/>
    <mergeCell ref="J187:J188"/>
    <mergeCell ref="K187:K188"/>
    <mergeCell ref="L187:L188"/>
    <mergeCell ref="M187:M188"/>
    <mergeCell ref="N187:N188"/>
    <mergeCell ref="O187:P187"/>
    <mergeCell ref="B177:P177"/>
    <mergeCell ref="B178:B179"/>
    <mergeCell ref="C178:C179"/>
    <mergeCell ref="D178:D179"/>
    <mergeCell ref="E178:E179"/>
    <mergeCell ref="F178:F179"/>
    <mergeCell ref="G178:G179"/>
    <mergeCell ref="H178:H179"/>
    <mergeCell ref="I178:I179"/>
    <mergeCell ref="J178:J179"/>
    <mergeCell ref="K178:K179"/>
    <mergeCell ref="L178:L179"/>
    <mergeCell ref="M178:M179"/>
    <mergeCell ref="N178:N179"/>
    <mergeCell ref="O178:P178"/>
    <mergeCell ref="K156:K157"/>
    <mergeCell ref="L156:L157"/>
    <mergeCell ref="M156:M157"/>
    <mergeCell ref="N156:N157"/>
    <mergeCell ref="O156:P156"/>
    <mergeCell ref="S90:T90"/>
    <mergeCell ref="S112:T112"/>
    <mergeCell ref="U112:V112"/>
    <mergeCell ref="W112:X112"/>
    <mergeCell ref="K135:K136"/>
    <mergeCell ref="L135:L136"/>
    <mergeCell ref="M135:M136"/>
    <mergeCell ref="N135:N136"/>
    <mergeCell ref="O135:P135"/>
    <mergeCell ref="K144:K145"/>
    <mergeCell ref="L144:L145"/>
    <mergeCell ref="M144:M145"/>
    <mergeCell ref="N144:N145"/>
    <mergeCell ref="O144:P144"/>
    <mergeCell ref="B124:P124"/>
    <mergeCell ref="B125:B126"/>
    <mergeCell ref="C125:C126"/>
    <mergeCell ref="D125:D126"/>
    <mergeCell ref="E125:E126"/>
    <mergeCell ref="B156:B157"/>
    <mergeCell ref="C156:C157"/>
    <mergeCell ref="D156:D157"/>
    <mergeCell ref="E156:E157"/>
    <mergeCell ref="F156:F157"/>
    <mergeCell ref="G156:G157"/>
    <mergeCell ref="H156:H157"/>
    <mergeCell ref="I156:I157"/>
    <mergeCell ref="J156:J157"/>
    <mergeCell ref="B144:B145"/>
    <mergeCell ref="C144:C145"/>
    <mergeCell ref="D144:D145"/>
    <mergeCell ref="E144:E145"/>
    <mergeCell ref="F144:F145"/>
    <mergeCell ref="G144:G145"/>
    <mergeCell ref="H144:H145"/>
    <mergeCell ref="I144:I145"/>
    <mergeCell ref="J144:J145"/>
    <mergeCell ref="N125:N126"/>
    <mergeCell ref="B135:B136"/>
    <mergeCell ref="C135:C136"/>
    <mergeCell ref="D135:D136"/>
    <mergeCell ref="E135:E136"/>
    <mergeCell ref="F135:F136"/>
    <mergeCell ref="G135:G136"/>
    <mergeCell ref="H135:H136"/>
    <mergeCell ref="I135:I136"/>
    <mergeCell ref="J135:J136"/>
    <mergeCell ref="O125:P125"/>
    <mergeCell ref="B107:P107"/>
    <mergeCell ref="B108:B109"/>
    <mergeCell ref="C108:C109"/>
    <mergeCell ref="D108:D109"/>
    <mergeCell ref="E108:E109"/>
    <mergeCell ref="F108:F109"/>
    <mergeCell ref="G108:G109"/>
    <mergeCell ref="H108:H109"/>
    <mergeCell ref="I108:I109"/>
    <mergeCell ref="J108:J109"/>
    <mergeCell ref="K108:K109"/>
    <mergeCell ref="L108:L109"/>
    <mergeCell ref="M108:M109"/>
    <mergeCell ref="N108:N109"/>
    <mergeCell ref="O108:P108"/>
    <mergeCell ref="F125:F126"/>
    <mergeCell ref="G125:G126"/>
    <mergeCell ref="H125:H126"/>
    <mergeCell ref="I125:I126"/>
    <mergeCell ref="J125:J126"/>
    <mergeCell ref="K125:K126"/>
    <mergeCell ref="L125:L126"/>
    <mergeCell ref="M125:M126"/>
    <mergeCell ref="B98:P98"/>
    <mergeCell ref="B99:B100"/>
    <mergeCell ref="C99:C100"/>
    <mergeCell ref="D99:D100"/>
    <mergeCell ref="E99:E100"/>
    <mergeCell ref="F99:F100"/>
    <mergeCell ref="G99:G100"/>
    <mergeCell ref="H99:H100"/>
    <mergeCell ref="I99:I100"/>
    <mergeCell ref="J99:J100"/>
    <mergeCell ref="K99:K100"/>
    <mergeCell ref="L99:L100"/>
    <mergeCell ref="M99:M100"/>
    <mergeCell ref="N99:N100"/>
    <mergeCell ref="O99:P99"/>
    <mergeCell ref="S3:T3"/>
    <mergeCell ref="S25:X25"/>
    <mergeCell ref="AA27:AB27"/>
    <mergeCell ref="B89:P89"/>
    <mergeCell ref="B90:B91"/>
    <mergeCell ref="C90:C91"/>
    <mergeCell ref="D90:D91"/>
    <mergeCell ref="E90:E91"/>
    <mergeCell ref="F90:F91"/>
    <mergeCell ref="G90:G91"/>
    <mergeCell ref="H90:H91"/>
    <mergeCell ref="I90:I91"/>
    <mergeCell ref="J90:J91"/>
    <mergeCell ref="K90:K91"/>
    <mergeCell ref="L90:L91"/>
    <mergeCell ref="M90:M91"/>
    <mergeCell ref="N90:N91"/>
    <mergeCell ref="O90:P90"/>
    <mergeCell ref="O37:P37"/>
    <mergeCell ref="O47:P47"/>
    <mergeCell ref="O56:P56"/>
    <mergeCell ref="O68:P68"/>
    <mergeCell ref="N68:N69"/>
    <mergeCell ref="O21:P21"/>
    <mergeCell ref="B36:P36"/>
    <mergeCell ref="I21:I22"/>
    <mergeCell ref="J21:J22"/>
    <mergeCell ref="K21:K22"/>
    <mergeCell ref="M3:M4"/>
    <mergeCell ref="N3:N4"/>
    <mergeCell ref="O3:P3"/>
    <mergeCell ref="B11:P11"/>
    <mergeCell ref="N12:N13"/>
    <mergeCell ref="O12:P12"/>
    <mergeCell ref="B20:P20"/>
    <mergeCell ref="B21:B22"/>
    <mergeCell ref="C21:C22"/>
    <mergeCell ref="D21:D22"/>
    <mergeCell ref="E21:E22"/>
    <mergeCell ref="F21:F22"/>
    <mergeCell ref="G21:G22"/>
    <mergeCell ref="H21:H22"/>
    <mergeCell ref="H12:H13"/>
    <mergeCell ref="I12:I13"/>
    <mergeCell ref="J12:J13"/>
    <mergeCell ref="K12:K13"/>
    <mergeCell ref="L12:L13"/>
    <mergeCell ref="B2:P2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N47:N48"/>
    <mergeCell ref="J47:J48"/>
    <mergeCell ref="L21:L22"/>
    <mergeCell ref="M21:M22"/>
    <mergeCell ref="N21:N22"/>
    <mergeCell ref="M56:M57"/>
    <mergeCell ref="A9:A10"/>
    <mergeCell ref="K3:K4"/>
    <mergeCell ref="L3:L4"/>
    <mergeCell ref="B12:B13"/>
    <mergeCell ref="C12:C13"/>
    <mergeCell ref="D12:D13"/>
    <mergeCell ref="E12:E13"/>
    <mergeCell ref="F12:F13"/>
    <mergeCell ref="G12:G13"/>
    <mergeCell ref="D37:D38"/>
    <mergeCell ref="E37:E38"/>
    <mergeCell ref="N37:N38"/>
    <mergeCell ref="M12:M13"/>
    <mergeCell ref="N56:N57"/>
    <mergeCell ref="I47:I48"/>
    <mergeCell ref="B37:B38"/>
    <mergeCell ref="C37:C38"/>
    <mergeCell ref="F37:F38"/>
    <mergeCell ref="J37:J38"/>
    <mergeCell ref="K37:K38"/>
    <mergeCell ref="L37:L38"/>
    <mergeCell ref="M37:M38"/>
    <mergeCell ref="H56:H57"/>
    <mergeCell ref="I56:I57"/>
    <mergeCell ref="B47:B48"/>
    <mergeCell ref="C47:C48"/>
    <mergeCell ref="D47:D48"/>
    <mergeCell ref="E47:E48"/>
    <mergeCell ref="F47:F48"/>
    <mergeCell ref="G47:G48"/>
    <mergeCell ref="H47:H48"/>
    <mergeCell ref="G37:G38"/>
    <mergeCell ref="H37:H38"/>
    <mergeCell ref="I37:I38"/>
    <mergeCell ref="K47:K48"/>
    <mergeCell ref="L47:L48"/>
    <mergeCell ref="M47:M48"/>
    <mergeCell ref="B1:P1"/>
    <mergeCell ref="B87:P87"/>
    <mergeCell ref="B175:P175"/>
    <mergeCell ref="B68:B69"/>
    <mergeCell ref="B56:B57"/>
    <mergeCell ref="C56:C57"/>
    <mergeCell ref="D56:D57"/>
    <mergeCell ref="E56:E57"/>
    <mergeCell ref="J68:J69"/>
    <mergeCell ref="K68:K69"/>
    <mergeCell ref="L68:L69"/>
    <mergeCell ref="M68:M69"/>
    <mergeCell ref="C68:C69"/>
    <mergeCell ref="D68:D69"/>
    <mergeCell ref="E68:E69"/>
    <mergeCell ref="F68:F69"/>
    <mergeCell ref="G68:G69"/>
    <mergeCell ref="H68:H69"/>
    <mergeCell ref="I68:I69"/>
    <mergeCell ref="F56:F57"/>
    <mergeCell ref="G56:G57"/>
    <mergeCell ref="J56:J57"/>
    <mergeCell ref="K56:K57"/>
    <mergeCell ref="L56:L5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34092C-66F5-4B4A-8B16-4799626F4C72}">
  <sheetPr codeName="Feuil3"/>
  <dimension ref="B4:K25"/>
  <sheetViews>
    <sheetView topLeftCell="F4" zoomScale="66" workbookViewId="0">
      <selection activeCell="L22" sqref="L22"/>
    </sheetView>
  </sheetViews>
  <sheetFormatPr baseColWidth="10" defaultColWidth="11.42578125" defaultRowHeight="15" x14ac:dyDescent="0.25"/>
  <cols>
    <col min="2" max="2" width="31" customWidth="1"/>
    <col min="3" max="3" width="16.42578125" customWidth="1"/>
    <col min="4" max="4" width="10.5703125" bestFit="1" customWidth="1"/>
    <col min="6" max="6" width="36.28515625" customWidth="1"/>
    <col min="7" max="7" width="12.85546875" customWidth="1"/>
    <col min="8" max="8" width="11.42578125" bestFit="1" customWidth="1"/>
    <col min="9" max="9" width="10.28515625" customWidth="1"/>
    <col min="10" max="10" width="39.28515625" customWidth="1"/>
    <col min="11" max="11" width="11.28515625" bestFit="1" customWidth="1"/>
    <col min="12" max="12" width="41.42578125" customWidth="1"/>
    <col min="13" max="13" width="15" customWidth="1"/>
  </cols>
  <sheetData>
    <row r="4" spans="2:11" x14ac:dyDescent="0.25">
      <c r="B4" s="266" t="s">
        <v>0</v>
      </c>
      <c r="C4" s="266"/>
      <c r="F4" s="264" t="s">
        <v>88</v>
      </c>
      <c r="G4" s="265"/>
      <c r="H4" s="265"/>
      <c r="I4" s="265"/>
      <c r="J4" s="265"/>
      <c r="K4" s="265"/>
    </row>
    <row r="5" spans="2:11" ht="30" x14ac:dyDescent="0.25">
      <c r="B5" s="8" t="s">
        <v>1</v>
      </c>
      <c r="C5" s="9">
        <f>'Budget Prev 3 années SANS PRECO'!P5</f>
        <v>63024</v>
      </c>
      <c r="F5" s="33" t="s">
        <v>2</v>
      </c>
      <c r="G5" s="52" t="s">
        <v>3</v>
      </c>
      <c r="H5" s="52" t="s">
        <v>4</v>
      </c>
      <c r="I5" s="52" t="s">
        <v>5</v>
      </c>
      <c r="J5" s="53" t="s">
        <v>6</v>
      </c>
      <c r="K5" s="54" t="s">
        <v>5</v>
      </c>
    </row>
    <row r="6" spans="2:11" x14ac:dyDescent="0.25">
      <c r="B6" s="8" t="s">
        <v>67</v>
      </c>
      <c r="C6" s="9">
        <v>0</v>
      </c>
      <c r="F6" s="1" t="s">
        <v>8</v>
      </c>
      <c r="G6" s="5">
        <f>SUM(G7:G10)</f>
        <v>236500</v>
      </c>
      <c r="H6" s="5">
        <f>SUM(H7:H8)</f>
        <v>49814.285714285717</v>
      </c>
      <c r="I6" s="5">
        <f>SUM(I7:I8)</f>
        <v>186685.71428571426</v>
      </c>
      <c r="J6" s="1" t="s">
        <v>9</v>
      </c>
      <c r="K6" s="11">
        <f>SUM(K7:K10)</f>
        <v>-416969.48571428563</v>
      </c>
    </row>
    <row r="7" spans="2:11" ht="30" x14ac:dyDescent="0.25">
      <c r="B7" s="33" t="s">
        <v>10</v>
      </c>
      <c r="C7" s="49">
        <f>C5+C6</f>
        <v>63024</v>
      </c>
      <c r="F7" s="2" t="s">
        <v>11</v>
      </c>
      <c r="G7" s="6">
        <v>159000</v>
      </c>
      <c r="H7" s="6">
        <f>8500+J25</f>
        <v>14072.429906542056</v>
      </c>
      <c r="I7" s="6">
        <f>G7-H7</f>
        <v>144927.57009345794</v>
      </c>
      <c r="J7" s="2" t="s">
        <v>12</v>
      </c>
      <c r="K7" s="4">
        <v>50000</v>
      </c>
    </row>
    <row r="8" spans="2:11" x14ac:dyDescent="0.25">
      <c r="B8" s="8" t="s">
        <v>70</v>
      </c>
      <c r="C8" s="9">
        <f>'Budget Prev 3 années SANS PRECO'!P14</f>
        <v>18907.2</v>
      </c>
      <c r="F8" s="2" t="s">
        <v>14</v>
      </c>
      <c r="G8" s="2">
        <f>55000+22500</f>
        <v>77500</v>
      </c>
      <c r="H8" s="102">
        <f>30600+'Budget Prev 3 années SANS PRECO'!P27+I24</f>
        <v>35741.855807743661</v>
      </c>
      <c r="I8" s="102">
        <f>G8-H8</f>
        <v>41758.144192256339</v>
      </c>
      <c r="J8" s="2" t="s">
        <v>15</v>
      </c>
      <c r="K8" s="3">
        <v>5000</v>
      </c>
    </row>
    <row r="9" spans="2:11" x14ac:dyDescent="0.25">
      <c r="B9" s="8" t="s">
        <v>73</v>
      </c>
      <c r="C9" s="9">
        <f>'Budget Prev 3 années SANS PRECO'!P23</f>
        <v>85200</v>
      </c>
      <c r="F9" s="1"/>
      <c r="G9" s="5"/>
      <c r="H9" s="1"/>
      <c r="I9" s="5"/>
      <c r="J9" s="2" t="s">
        <v>17</v>
      </c>
      <c r="K9" s="4">
        <f>17900+'Bilan et CDR N'!C23</f>
        <v>22728</v>
      </c>
    </row>
    <row r="10" spans="2:11" ht="30" x14ac:dyDescent="0.25">
      <c r="B10" s="8" t="s">
        <v>18</v>
      </c>
      <c r="C10" s="9">
        <f>'Budget Prev 3 années SANS PRECO'!P39</f>
        <v>8200</v>
      </c>
      <c r="F10" s="2"/>
      <c r="G10" s="6"/>
      <c r="H10" s="2"/>
      <c r="I10" s="6"/>
      <c r="J10" s="2" t="s">
        <v>19</v>
      </c>
      <c r="K10" s="64">
        <f>C22</f>
        <v>-494697.48571428563</v>
      </c>
    </row>
    <row r="11" spans="2:11" x14ac:dyDescent="0.25">
      <c r="B11" s="8" t="s">
        <v>20</v>
      </c>
      <c r="C11" s="9">
        <f>'Budget Prev 3 années SANS PRECO'!P31</f>
        <v>307500</v>
      </c>
      <c r="F11" s="12"/>
      <c r="G11" s="13"/>
      <c r="I11" s="13"/>
      <c r="J11" s="4"/>
      <c r="K11" s="11"/>
    </row>
    <row r="12" spans="2:11" x14ac:dyDescent="0.25">
      <c r="B12" s="8" t="s">
        <v>21</v>
      </c>
      <c r="C12" s="9">
        <f>'Budget Prev 3 années SANS PRECO'!P32</f>
        <v>123000</v>
      </c>
      <c r="F12" s="1" t="s">
        <v>22</v>
      </c>
      <c r="G12" s="5">
        <f>SUM(G13:G15)</f>
        <v>-485067.91999999987</v>
      </c>
      <c r="H12" s="5">
        <f>SUM(H13:H15)</f>
        <v>0</v>
      </c>
      <c r="I12" s="5">
        <f>SUM(I13:I15)</f>
        <v>-485067.91999999987</v>
      </c>
      <c r="J12" s="1" t="s">
        <v>23</v>
      </c>
      <c r="K12" s="11">
        <f>SUM(K13:K16)</f>
        <v>99565.28</v>
      </c>
    </row>
    <row r="13" spans="2:11" ht="30" x14ac:dyDescent="0.25">
      <c r="B13" s="8" t="s">
        <v>75</v>
      </c>
      <c r="C13" s="9">
        <f>'Budget Prev 3 années SANS PRECO'!P28</f>
        <v>10714.285714285714</v>
      </c>
      <c r="F13" s="2" t="s">
        <v>25</v>
      </c>
      <c r="G13" s="2">
        <v>15000</v>
      </c>
      <c r="H13" s="2"/>
      <c r="I13" s="2">
        <f>G13-H13</f>
        <v>15000</v>
      </c>
      <c r="J13" s="2" t="s">
        <v>26</v>
      </c>
      <c r="K13" s="4">
        <f>Emprunt!G9</f>
        <v>90000</v>
      </c>
    </row>
    <row r="14" spans="2:11" x14ac:dyDescent="0.25">
      <c r="B14" s="33" t="s">
        <v>76</v>
      </c>
      <c r="C14" s="49">
        <f>SUM(C8:C13)</f>
        <v>553521.48571428563</v>
      </c>
      <c r="F14" s="2" t="s">
        <v>28</v>
      </c>
      <c r="G14" s="6">
        <f>'Budget Prev 3 années SANS PRECO'!P8</f>
        <v>6302.4</v>
      </c>
      <c r="H14" s="2"/>
      <c r="I14" s="6">
        <f t="shared" ref="I14:I15" si="0">G14-H14</f>
        <v>6302.4</v>
      </c>
      <c r="J14" s="2" t="s">
        <v>29</v>
      </c>
      <c r="K14" s="3">
        <f>0</f>
        <v>0</v>
      </c>
    </row>
    <row r="15" spans="2:11" x14ac:dyDescent="0.25">
      <c r="B15" s="10" t="s">
        <v>30</v>
      </c>
      <c r="C15" s="16">
        <f>C7-C14</f>
        <v>-490497.48571428563</v>
      </c>
      <c r="F15" s="2" t="s">
        <v>34</v>
      </c>
      <c r="G15" s="6">
        <f>'Budget Prev 3 années SANS PRECO'!N85</f>
        <v>-506370.31999999989</v>
      </c>
      <c r="H15" s="2"/>
      <c r="I15" s="6">
        <f t="shared" si="0"/>
        <v>-506370.31999999989</v>
      </c>
      <c r="J15" s="2" t="s">
        <v>32</v>
      </c>
      <c r="K15" s="3">
        <f>'Budget Prev 3 années SANS PRECO'!P64+'Budget Prev 3 années SANS PRECO'!P33</f>
        <v>9565.2800000000007</v>
      </c>
    </row>
    <row r="16" spans="2:11" x14ac:dyDescent="0.25">
      <c r="B16" s="33" t="s">
        <v>33</v>
      </c>
      <c r="C16" s="49">
        <v>0</v>
      </c>
      <c r="F16" s="2"/>
      <c r="G16" s="2"/>
      <c r="H16" s="2"/>
      <c r="I16" s="2"/>
      <c r="J16" s="2"/>
      <c r="K16" s="4"/>
    </row>
    <row r="17" spans="2:11" x14ac:dyDescent="0.25">
      <c r="B17" s="8" t="s">
        <v>36</v>
      </c>
      <c r="C17" s="9">
        <f>'Budget Prev 3 années SANS PRECO'!P41</f>
        <v>4200</v>
      </c>
      <c r="F17" s="55" t="s">
        <v>38</v>
      </c>
      <c r="G17" s="56">
        <f>G6+G12</f>
        <v>-248567.91999999987</v>
      </c>
      <c r="H17" s="56">
        <f>H6</f>
        <v>49814.285714285717</v>
      </c>
      <c r="I17" s="56">
        <f>G17-H17</f>
        <v>-298382.20571428561</v>
      </c>
      <c r="J17" s="55" t="s">
        <v>39</v>
      </c>
      <c r="K17" s="57">
        <f>K6+K12</f>
        <v>-317404.20571428561</v>
      </c>
    </row>
    <row r="18" spans="2:11" x14ac:dyDescent="0.25">
      <c r="B18" s="33" t="s">
        <v>37</v>
      </c>
      <c r="C18" s="49">
        <f>C17</f>
        <v>4200</v>
      </c>
      <c r="J18" s="7" t="s">
        <v>42</v>
      </c>
      <c r="K18" s="14">
        <f>I17-K17</f>
        <v>19022</v>
      </c>
    </row>
    <row r="19" spans="2:11" x14ac:dyDescent="0.25">
      <c r="B19" s="10" t="s">
        <v>40</v>
      </c>
      <c r="C19" s="16">
        <f>C16-C18</f>
        <v>-4200</v>
      </c>
    </row>
    <row r="20" spans="2:11" x14ac:dyDescent="0.25">
      <c r="B20" s="10" t="s">
        <v>43</v>
      </c>
      <c r="C20" s="16">
        <f>C15-(-C19)</f>
        <v>-494697.48571428563</v>
      </c>
    </row>
    <row r="21" spans="2:11" x14ac:dyDescent="0.25">
      <c r="B21" s="10" t="s">
        <v>45</v>
      </c>
      <c r="C21" s="9"/>
      <c r="I21" t="s">
        <v>91</v>
      </c>
    </row>
    <row r="22" spans="2:11" x14ac:dyDescent="0.25">
      <c r="B22" s="50" t="s">
        <v>47</v>
      </c>
      <c r="C22" s="51">
        <f>C20</f>
        <v>-494697.48571428563</v>
      </c>
      <c r="G22" s="15"/>
      <c r="I22">
        <v>55</v>
      </c>
    </row>
    <row r="23" spans="2:11" x14ac:dyDescent="0.25">
      <c r="G23" s="15"/>
      <c r="J23">
        <v>159</v>
      </c>
    </row>
    <row r="24" spans="2:11" x14ac:dyDescent="0.25">
      <c r="I24" s="19">
        <f>I22/J24*7500</f>
        <v>1927.5700934579438</v>
      </c>
      <c r="J24">
        <v>214</v>
      </c>
    </row>
    <row r="25" spans="2:11" x14ac:dyDescent="0.25">
      <c r="J25" s="19">
        <f>J23/J24*7500</f>
        <v>5572.4299065420564</v>
      </c>
    </row>
  </sheetData>
  <mergeCells count="2">
    <mergeCell ref="F4:K4"/>
    <mergeCell ref="B4:C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733017-EF0A-4941-B39D-A760182B089F}">
  <sheetPr codeName="Feuil4"/>
  <dimension ref="B4:K25"/>
  <sheetViews>
    <sheetView topLeftCell="D1" zoomScale="97" workbookViewId="0">
      <selection activeCell="L22" sqref="L22"/>
    </sheetView>
  </sheetViews>
  <sheetFormatPr baseColWidth="10" defaultColWidth="11.42578125" defaultRowHeight="15" x14ac:dyDescent="0.25"/>
  <cols>
    <col min="2" max="2" width="31" customWidth="1"/>
    <col min="3" max="3" width="16.42578125" customWidth="1"/>
    <col min="4" max="4" width="10.5703125" bestFit="1" customWidth="1"/>
    <col min="5" max="5" width="9.140625" bestFit="1" customWidth="1"/>
    <col min="6" max="6" width="36.28515625" customWidth="1"/>
    <col min="7" max="7" width="12.85546875" customWidth="1"/>
    <col min="8" max="8" width="9.140625" bestFit="1" customWidth="1"/>
    <col min="9" max="9" width="10.28515625" customWidth="1"/>
    <col min="10" max="10" width="39.28515625" customWidth="1"/>
    <col min="11" max="11" width="10.5703125" bestFit="1" customWidth="1"/>
    <col min="12" max="12" width="41.42578125" customWidth="1"/>
    <col min="13" max="13" width="15" customWidth="1"/>
  </cols>
  <sheetData>
    <row r="4" spans="2:11" x14ac:dyDescent="0.25">
      <c r="B4" s="266" t="s">
        <v>0</v>
      </c>
      <c r="C4" s="266"/>
      <c r="F4" s="264" t="s">
        <v>88</v>
      </c>
      <c r="G4" s="265"/>
      <c r="H4" s="265"/>
      <c r="I4" s="265"/>
      <c r="J4" s="265"/>
      <c r="K4" s="265"/>
    </row>
    <row r="5" spans="2:11" ht="30" x14ac:dyDescent="0.25">
      <c r="B5" s="8" t="s">
        <v>1</v>
      </c>
      <c r="C5" s="9">
        <f>'Budget Prev 3 années SANS PRECO'!P5</f>
        <v>63024</v>
      </c>
      <c r="F5" s="33" t="s">
        <v>2</v>
      </c>
      <c r="G5" s="52" t="s">
        <v>3</v>
      </c>
      <c r="H5" s="52" t="s">
        <v>4</v>
      </c>
      <c r="I5" s="52" t="s">
        <v>5</v>
      </c>
      <c r="J5" s="53" t="s">
        <v>6</v>
      </c>
      <c r="K5" s="54" t="s">
        <v>5</v>
      </c>
    </row>
    <row r="6" spans="2:11" x14ac:dyDescent="0.25">
      <c r="B6" s="8" t="s">
        <v>67</v>
      </c>
      <c r="C6" s="9">
        <v>0</v>
      </c>
      <c r="F6" s="1" t="s">
        <v>8</v>
      </c>
      <c r="G6" s="5">
        <f>SUM(G7:G10)</f>
        <v>236500</v>
      </c>
      <c r="H6" s="5">
        <f>SUM(H7:H8)</f>
        <v>49814.285714285717</v>
      </c>
      <c r="I6" s="5">
        <f>SUM(I7:I8)</f>
        <v>186685.71428571426</v>
      </c>
      <c r="J6" s="1" t="s">
        <v>9</v>
      </c>
      <c r="K6" s="11">
        <f>SUM(K7:K10)</f>
        <v>-396126.78571428562</v>
      </c>
    </row>
    <row r="7" spans="2:11" ht="30" x14ac:dyDescent="0.25">
      <c r="B7" s="33" t="s">
        <v>10</v>
      </c>
      <c r="C7" s="49">
        <f>C5+C6</f>
        <v>63024</v>
      </c>
      <c r="F7" s="2" t="s">
        <v>11</v>
      </c>
      <c r="G7" s="6">
        <v>159000</v>
      </c>
      <c r="H7" s="6">
        <f>8500+J25</f>
        <v>14072.429906542056</v>
      </c>
      <c r="I7" s="6">
        <f>G7-H7</f>
        <v>144927.57009345794</v>
      </c>
      <c r="J7" s="2" t="s">
        <v>12</v>
      </c>
      <c r="K7" s="4">
        <f>50000+25000</f>
        <v>75000</v>
      </c>
    </row>
    <row r="8" spans="2:11" x14ac:dyDescent="0.25">
      <c r="B8" s="8" t="s">
        <v>70</v>
      </c>
      <c r="C8" s="9">
        <f>'Budget Prev 3 années SANS PRECO'!P14</f>
        <v>18907.2</v>
      </c>
      <c r="F8" s="2" t="s">
        <v>14</v>
      </c>
      <c r="G8" s="2">
        <f>55000+22500</f>
        <v>77500</v>
      </c>
      <c r="H8" s="102">
        <f>30600+'Budget Prev 3 années SANS PRECO'!P27+I24</f>
        <v>35741.855807743661</v>
      </c>
      <c r="I8" s="102">
        <f>G8-H8</f>
        <v>41758.144192256339</v>
      </c>
      <c r="J8" s="2" t="s">
        <v>15</v>
      </c>
      <c r="K8" s="3">
        <v>5000</v>
      </c>
    </row>
    <row r="9" spans="2:11" x14ac:dyDescent="0.25">
      <c r="B9" s="8" t="s">
        <v>73</v>
      </c>
      <c r="C9" s="9">
        <f>'Budget Prev 3 années SANS PRECO'!P23</f>
        <v>85200</v>
      </c>
      <c r="F9" s="1"/>
      <c r="G9" s="5"/>
      <c r="H9" s="1"/>
      <c r="I9" s="5"/>
      <c r="J9" s="2" t="s">
        <v>17</v>
      </c>
      <c r="K9" s="4">
        <f>17900+'Bilan et CDR N'!C23</f>
        <v>22728</v>
      </c>
    </row>
    <row r="10" spans="2:11" ht="30" x14ac:dyDescent="0.25">
      <c r="B10" s="8" t="s">
        <v>18</v>
      </c>
      <c r="C10" s="9">
        <f>'Budget Prev 3 années SANS PRECO'!P39</f>
        <v>8200</v>
      </c>
      <c r="F10" s="2"/>
      <c r="G10" s="6"/>
      <c r="H10" s="2"/>
      <c r="I10" s="6"/>
      <c r="J10" s="2" t="s">
        <v>19</v>
      </c>
      <c r="K10" s="64">
        <f>C22</f>
        <v>-498854.78571428562</v>
      </c>
    </row>
    <row r="11" spans="2:11" x14ac:dyDescent="0.25">
      <c r="B11" s="8" t="s">
        <v>20</v>
      </c>
      <c r="C11" s="9">
        <f>'Budget Prev 3 années SANS PRECO'!P31</f>
        <v>307500</v>
      </c>
      <c r="F11" s="12"/>
      <c r="G11" s="13"/>
      <c r="I11" s="13"/>
      <c r="J11" s="4"/>
      <c r="K11" s="11"/>
    </row>
    <row r="12" spans="2:11" x14ac:dyDescent="0.25">
      <c r="B12" s="8" t="s">
        <v>21</v>
      </c>
      <c r="C12" s="9">
        <f>'Budget Prev 3 années SANS PRECO'!P32</f>
        <v>123000</v>
      </c>
      <c r="F12" s="1" t="s">
        <v>22</v>
      </c>
      <c r="G12" s="5">
        <f>SUM(G13:G15)</f>
        <v>-414835.21999999986</v>
      </c>
      <c r="H12" s="5">
        <f>SUM(H13:H15)</f>
        <v>0</v>
      </c>
      <c r="I12" s="5">
        <f>SUM(I13:I15)</f>
        <v>-414835.21999999986</v>
      </c>
      <c r="J12" s="1" t="s">
        <v>23</v>
      </c>
      <c r="K12" s="11">
        <f>SUM(K13:K16)</f>
        <v>148955.28</v>
      </c>
    </row>
    <row r="13" spans="2:11" ht="30" x14ac:dyDescent="0.25">
      <c r="B13" s="8" t="s">
        <v>75</v>
      </c>
      <c r="C13" s="9">
        <f>'Budget Prev 3 années SANS PRECO'!P28</f>
        <v>10714.285714285714</v>
      </c>
      <c r="F13" s="2" t="s">
        <v>25</v>
      </c>
      <c r="G13" s="2">
        <v>15000</v>
      </c>
      <c r="H13" s="2"/>
      <c r="I13" s="2">
        <f>G13-H13</f>
        <v>15000</v>
      </c>
      <c r="J13" s="2" t="s">
        <v>26</v>
      </c>
      <c r="K13" s="4">
        <f>80000</f>
        <v>80000</v>
      </c>
    </row>
    <row r="14" spans="2:11" x14ac:dyDescent="0.25">
      <c r="B14" s="33" t="s">
        <v>76</v>
      </c>
      <c r="C14" s="49">
        <f>SUM(C8:C13)</f>
        <v>553521.48571428563</v>
      </c>
      <c r="F14" s="2" t="s">
        <v>28</v>
      </c>
      <c r="G14" s="6">
        <f>'Budget Prev 3 années SANS PRECO'!P8</f>
        <v>6302.4</v>
      </c>
      <c r="H14" s="2"/>
      <c r="I14" s="6">
        <f>G14-H14</f>
        <v>6302.4</v>
      </c>
      <c r="J14" s="2" t="s">
        <v>29</v>
      </c>
      <c r="K14" s="3">
        <f>0</f>
        <v>0</v>
      </c>
    </row>
    <row r="15" spans="2:11" x14ac:dyDescent="0.25">
      <c r="B15" s="10" t="s">
        <v>30</v>
      </c>
      <c r="C15" s="16">
        <f>C7-C14</f>
        <v>-490497.48571428563</v>
      </c>
      <c r="F15" s="2" t="s">
        <v>34</v>
      </c>
      <c r="G15" s="6">
        <f>'Budget Prev 3 années SANS PRECO'!N85-C17+4200+25000-10000+K16</f>
        <v>-436137.61999999988</v>
      </c>
      <c r="H15" s="2"/>
      <c r="I15" s="6">
        <f>G15-H15</f>
        <v>-436137.61999999988</v>
      </c>
      <c r="J15" s="2" t="s">
        <v>32</v>
      </c>
      <c r="K15" s="3">
        <f>'Budget Prev 3 années SANS PRECO'!P64+'Budget Prev 3 années SANS PRECO'!P33</f>
        <v>9565.2800000000007</v>
      </c>
    </row>
    <row r="16" spans="2:11" x14ac:dyDescent="0.25">
      <c r="B16" s="33" t="s">
        <v>33</v>
      </c>
      <c r="C16" s="49">
        <v>0</v>
      </c>
      <c r="F16" s="2"/>
      <c r="G16" s="2"/>
      <c r="H16" s="2"/>
      <c r="I16" s="2"/>
      <c r="J16" s="2" t="s">
        <v>165</v>
      </c>
      <c r="K16" s="3">
        <f>'Hypothèse | 3 ans'!T51+'Hypothèse | 3 ans'!U51</f>
        <v>59390</v>
      </c>
    </row>
    <row r="17" spans="2:11" x14ac:dyDescent="0.25">
      <c r="B17" s="8" t="s">
        <v>36</v>
      </c>
      <c r="C17" s="9">
        <f>'Budget Prev 3 années SANS PRECO'!P41+'Hypothèse | 3 ans'!U54+'Hypothèse | 3 ans'!V54</f>
        <v>8357.2999999999993</v>
      </c>
      <c r="F17" s="55" t="s">
        <v>38</v>
      </c>
      <c r="G17" s="56">
        <f>G6+G12</f>
        <v>-178335.21999999986</v>
      </c>
      <c r="H17" s="56">
        <f>H6</f>
        <v>49814.285714285717</v>
      </c>
      <c r="I17" s="56">
        <f>G17-H17</f>
        <v>-228149.50571428557</v>
      </c>
      <c r="J17" s="55" t="s">
        <v>39</v>
      </c>
      <c r="K17" s="57">
        <f>K6+K12</f>
        <v>-247171.50571428562</v>
      </c>
    </row>
    <row r="18" spans="2:11" x14ac:dyDescent="0.25">
      <c r="B18" s="33" t="s">
        <v>37</v>
      </c>
      <c r="C18" s="49">
        <f>C17</f>
        <v>8357.2999999999993</v>
      </c>
      <c r="J18" s="7" t="s">
        <v>42</v>
      </c>
      <c r="K18" s="14">
        <f>I17-K17</f>
        <v>19022.000000000058</v>
      </c>
    </row>
    <row r="19" spans="2:11" x14ac:dyDescent="0.25">
      <c r="B19" s="10" t="s">
        <v>40</v>
      </c>
      <c r="C19" s="16">
        <f>C16-C18</f>
        <v>-8357.2999999999993</v>
      </c>
    </row>
    <row r="20" spans="2:11" x14ac:dyDescent="0.25">
      <c r="B20" s="10" t="s">
        <v>43</v>
      </c>
      <c r="C20" s="16">
        <f>C15-(-C19)</f>
        <v>-498854.78571428562</v>
      </c>
    </row>
    <row r="21" spans="2:11" x14ac:dyDescent="0.25">
      <c r="B21" s="10" t="s">
        <v>45</v>
      </c>
      <c r="C21" s="9"/>
      <c r="I21" t="s">
        <v>91</v>
      </c>
    </row>
    <row r="22" spans="2:11" x14ac:dyDescent="0.25">
      <c r="B22" s="50" t="s">
        <v>47</v>
      </c>
      <c r="C22" s="51">
        <f>C20</f>
        <v>-498854.78571428562</v>
      </c>
      <c r="G22" s="15"/>
      <c r="I22">
        <v>55</v>
      </c>
    </row>
    <row r="23" spans="2:11" x14ac:dyDescent="0.25">
      <c r="G23" s="15"/>
      <c r="J23">
        <v>159</v>
      </c>
    </row>
    <row r="24" spans="2:11" x14ac:dyDescent="0.25">
      <c r="I24" s="19">
        <f>I22/J24*7500</f>
        <v>1927.5700934579438</v>
      </c>
      <c r="J24">
        <v>214</v>
      </c>
    </row>
    <row r="25" spans="2:11" x14ac:dyDescent="0.25">
      <c r="J25" s="19">
        <f>J23/J24*7500</f>
        <v>5572.4299065420564</v>
      </c>
    </row>
  </sheetData>
  <mergeCells count="2">
    <mergeCell ref="B4:C4"/>
    <mergeCell ref="F4:K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3C1666-3B26-442A-AE82-56FEC55ED268}">
  <sheetPr codeName="Feuil5"/>
  <dimension ref="B2:Q86"/>
  <sheetViews>
    <sheetView zoomScale="51" workbookViewId="0">
      <selection activeCell="C7" sqref="C7"/>
    </sheetView>
  </sheetViews>
  <sheetFormatPr baseColWidth="10" defaultColWidth="10.7109375" defaultRowHeight="15" x14ac:dyDescent="0.25"/>
  <cols>
    <col min="1" max="1" width="10.7109375" style="20"/>
    <col min="2" max="2" width="32.85546875" style="20" customWidth="1"/>
    <col min="3" max="3" width="12.140625" style="20" bestFit="1" customWidth="1"/>
    <col min="4" max="14" width="11.140625" style="20" bestFit="1" customWidth="1"/>
    <col min="15" max="15" width="28" style="20" bestFit="1" customWidth="1"/>
    <col min="16" max="16" width="12.140625" style="20" bestFit="1" customWidth="1"/>
    <col min="17" max="18" width="10.7109375" style="20"/>
    <col min="19" max="19" width="37.7109375" style="20" customWidth="1"/>
    <col min="20" max="20" width="22.5703125" style="20" customWidth="1"/>
    <col min="21" max="16384" width="10.7109375" style="20"/>
  </cols>
  <sheetData>
    <row r="2" spans="2:16" x14ac:dyDescent="0.25">
      <c r="B2" s="268" t="s">
        <v>137</v>
      </c>
      <c r="C2" s="268"/>
      <c r="D2" s="268"/>
      <c r="E2" s="268"/>
      <c r="F2" s="268"/>
      <c r="G2" s="268"/>
      <c r="H2" s="268"/>
      <c r="I2" s="268"/>
      <c r="J2" s="268"/>
      <c r="K2" s="268"/>
      <c r="L2" s="268"/>
      <c r="M2" s="268"/>
      <c r="N2" s="268"/>
      <c r="O2" s="268"/>
      <c r="P2" s="268"/>
    </row>
    <row r="3" spans="2:16" x14ac:dyDescent="0.25">
      <c r="B3" s="213"/>
      <c r="C3" s="215" t="s">
        <v>50</v>
      </c>
      <c r="D3" s="215" t="s">
        <v>51</v>
      </c>
      <c r="E3" s="215" t="s">
        <v>52</v>
      </c>
      <c r="F3" s="215" t="s">
        <v>53</v>
      </c>
      <c r="G3" s="215" t="s">
        <v>54</v>
      </c>
      <c r="H3" s="215" t="s">
        <v>55</v>
      </c>
      <c r="I3" s="215" t="s">
        <v>56</v>
      </c>
      <c r="J3" s="215" t="s">
        <v>57</v>
      </c>
      <c r="K3" s="215" t="s">
        <v>58</v>
      </c>
      <c r="L3" s="215" t="s">
        <v>59</v>
      </c>
      <c r="M3" s="215" t="s">
        <v>60</v>
      </c>
      <c r="N3" s="215" t="s">
        <v>61</v>
      </c>
      <c r="O3" s="220" t="s">
        <v>62</v>
      </c>
      <c r="P3" s="221"/>
    </row>
    <row r="4" spans="2:16" x14ac:dyDescent="0.25">
      <c r="B4" s="214"/>
      <c r="C4" s="216"/>
      <c r="D4" s="216"/>
      <c r="E4" s="216"/>
      <c r="F4" s="216"/>
      <c r="G4" s="216"/>
      <c r="H4" s="216"/>
      <c r="I4" s="216"/>
      <c r="J4" s="216"/>
      <c r="K4" s="216"/>
      <c r="L4" s="216"/>
      <c r="M4" s="216"/>
      <c r="N4" s="216"/>
      <c r="O4" s="58" t="s">
        <v>64</v>
      </c>
      <c r="P4" s="58" t="s">
        <v>65</v>
      </c>
    </row>
    <row r="5" spans="2:16" x14ac:dyDescent="0.25">
      <c r="B5" s="35" t="s">
        <v>66</v>
      </c>
      <c r="C5" s="35">
        <f>'Bilan et CDR N+1'!$C$5*1.03/12</f>
        <v>5409.56</v>
      </c>
      <c r="D5" s="35">
        <f>'Bilan et CDR N+1'!$C$5*1.03/12</f>
        <v>5409.56</v>
      </c>
      <c r="E5" s="35">
        <f>'Bilan et CDR N+1'!$C$5*1.03/12</f>
        <v>5409.56</v>
      </c>
      <c r="F5" s="35">
        <f>'Bilan et CDR N+1'!$C$5*1.03/12</f>
        <v>5409.56</v>
      </c>
      <c r="G5" s="35">
        <f>'Bilan et CDR N+1'!$C$5*1.03/12</f>
        <v>5409.56</v>
      </c>
      <c r="H5" s="35">
        <f>'Bilan et CDR N+1'!$C$5*1.03/12</f>
        <v>5409.56</v>
      </c>
      <c r="I5" s="35">
        <f>'Bilan et CDR N+1'!$C$5*1.03/12</f>
        <v>5409.56</v>
      </c>
      <c r="J5" s="35">
        <f>'Bilan et CDR N+1'!$C$5*1.03/12</f>
        <v>5409.56</v>
      </c>
      <c r="K5" s="35">
        <f>'Bilan et CDR N+1'!$C$5*1.03/12</f>
        <v>5409.56</v>
      </c>
      <c r="L5" s="35">
        <f>'Bilan et CDR N+1'!$C$5*1.03/12</f>
        <v>5409.56</v>
      </c>
      <c r="M5" s="35">
        <f>'Bilan et CDR N+1'!$C$5*1.03/12</f>
        <v>5409.56</v>
      </c>
      <c r="N5" s="35">
        <f>'Bilan et CDR N+1'!$C$5*1.03/12</f>
        <v>5409.56</v>
      </c>
      <c r="O5" s="60" t="s">
        <v>1</v>
      </c>
      <c r="P5" s="61">
        <f>SUM(C5:N5)</f>
        <v>64914.719999999994</v>
      </c>
    </row>
    <row r="6" spans="2:16" x14ac:dyDescent="0.25">
      <c r="B6" s="34" t="s">
        <v>68</v>
      </c>
      <c r="C6" s="34">
        <f>C5*20%</f>
        <v>1081.912</v>
      </c>
      <c r="D6" s="34">
        <f t="shared" ref="D6:N6" si="0">D5*20%</f>
        <v>1081.912</v>
      </c>
      <c r="E6" s="34">
        <f t="shared" si="0"/>
        <v>1081.912</v>
      </c>
      <c r="F6" s="34">
        <f t="shared" si="0"/>
        <v>1081.912</v>
      </c>
      <c r="G6" s="34">
        <f t="shared" si="0"/>
        <v>1081.912</v>
      </c>
      <c r="H6" s="34">
        <f t="shared" si="0"/>
        <v>1081.912</v>
      </c>
      <c r="I6" s="34">
        <f t="shared" si="0"/>
        <v>1081.912</v>
      </c>
      <c r="J6" s="34">
        <f t="shared" si="0"/>
        <v>1081.912</v>
      </c>
      <c r="K6" s="34">
        <f t="shared" si="0"/>
        <v>1081.912</v>
      </c>
      <c r="L6" s="34">
        <f t="shared" si="0"/>
        <v>1081.912</v>
      </c>
      <c r="M6" s="34">
        <f t="shared" si="0"/>
        <v>1081.912</v>
      </c>
      <c r="N6" s="34">
        <f t="shared" si="0"/>
        <v>1081.912</v>
      </c>
      <c r="O6" s="34"/>
      <c r="P6" s="34"/>
    </row>
    <row r="7" spans="2:16" x14ac:dyDescent="0.25">
      <c r="B7" s="34" t="s">
        <v>69</v>
      </c>
      <c r="C7" s="34">
        <f>C5+C6</f>
        <v>6491.4720000000007</v>
      </c>
      <c r="D7" s="34">
        <f t="shared" ref="D7:N7" si="1">D5+D6</f>
        <v>6491.4720000000007</v>
      </c>
      <c r="E7" s="34">
        <f t="shared" si="1"/>
        <v>6491.4720000000007</v>
      </c>
      <c r="F7" s="34">
        <f t="shared" si="1"/>
        <v>6491.4720000000007</v>
      </c>
      <c r="G7" s="34">
        <f t="shared" si="1"/>
        <v>6491.4720000000007</v>
      </c>
      <c r="H7" s="34">
        <f t="shared" si="1"/>
        <v>6491.4720000000007</v>
      </c>
      <c r="I7" s="34">
        <f t="shared" si="1"/>
        <v>6491.4720000000007</v>
      </c>
      <c r="J7" s="34">
        <f t="shared" si="1"/>
        <v>6491.4720000000007</v>
      </c>
      <c r="K7" s="34">
        <f t="shared" si="1"/>
        <v>6491.4720000000007</v>
      </c>
      <c r="L7" s="34">
        <f t="shared" si="1"/>
        <v>6491.4720000000007</v>
      </c>
      <c r="M7" s="34">
        <f t="shared" si="1"/>
        <v>6491.4720000000007</v>
      </c>
      <c r="N7" s="34">
        <f t="shared" si="1"/>
        <v>6491.4720000000007</v>
      </c>
      <c r="O7" s="34"/>
      <c r="P7" s="34"/>
    </row>
    <row r="8" spans="2:16" x14ac:dyDescent="0.25">
      <c r="B8" s="59" t="s">
        <v>139</v>
      </c>
      <c r="C8" s="59">
        <f>'Bilan et CDR N+1'!I14</f>
        <v>6302.4</v>
      </c>
      <c r="D8" s="59">
        <f>C7</f>
        <v>6491.4720000000007</v>
      </c>
      <c r="E8" s="59">
        <f>D7</f>
        <v>6491.4720000000007</v>
      </c>
      <c r="F8" s="59">
        <f>E7</f>
        <v>6491.4720000000007</v>
      </c>
      <c r="G8" s="59">
        <f>F7</f>
        <v>6491.4720000000007</v>
      </c>
      <c r="H8" s="59">
        <f>G7</f>
        <v>6491.4720000000007</v>
      </c>
      <c r="I8" s="59">
        <f t="shared" ref="I8:N8" si="2">H7</f>
        <v>6491.4720000000007</v>
      </c>
      <c r="J8" s="59">
        <f t="shared" si="2"/>
        <v>6491.4720000000007</v>
      </c>
      <c r="K8" s="59">
        <f t="shared" si="2"/>
        <v>6491.4720000000007</v>
      </c>
      <c r="L8" s="59">
        <f t="shared" si="2"/>
        <v>6491.4720000000007</v>
      </c>
      <c r="M8" s="59">
        <f t="shared" si="2"/>
        <v>6491.4720000000007</v>
      </c>
      <c r="N8" s="59">
        <f t="shared" si="2"/>
        <v>6491.4720000000007</v>
      </c>
      <c r="O8" s="60" t="s">
        <v>72</v>
      </c>
      <c r="P8" s="61">
        <f>N7</f>
        <v>6491.4720000000007</v>
      </c>
    </row>
    <row r="11" spans="2:16" x14ac:dyDescent="0.25">
      <c r="B11" s="267" t="s">
        <v>140</v>
      </c>
      <c r="C11" s="267"/>
      <c r="D11" s="267"/>
      <c r="E11" s="267"/>
      <c r="F11" s="267"/>
      <c r="G11" s="267"/>
      <c r="H11" s="267"/>
      <c r="I11" s="267"/>
      <c r="J11" s="267"/>
      <c r="K11" s="267"/>
      <c r="L11" s="267"/>
      <c r="M11" s="267"/>
      <c r="N11" s="267"/>
      <c r="O11" s="267"/>
      <c r="P11" s="267"/>
    </row>
    <row r="12" spans="2:16" x14ac:dyDescent="0.25">
      <c r="B12" s="213"/>
      <c r="C12" s="215" t="s">
        <v>50</v>
      </c>
      <c r="D12" s="215" t="s">
        <v>51</v>
      </c>
      <c r="E12" s="215" t="s">
        <v>52</v>
      </c>
      <c r="F12" s="215" t="s">
        <v>53</v>
      </c>
      <c r="G12" s="215" t="s">
        <v>54</v>
      </c>
      <c r="H12" s="215" t="s">
        <v>55</v>
      </c>
      <c r="I12" s="215" t="s">
        <v>56</v>
      </c>
      <c r="J12" s="215" t="s">
        <v>57</v>
      </c>
      <c r="K12" s="215" t="s">
        <v>58</v>
      </c>
      <c r="L12" s="215" t="s">
        <v>59</v>
      </c>
      <c r="M12" s="215" t="s">
        <v>60</v>
      </c>
      <c r="N12" s="215" t="s">
        <v>61</v>
      </c>
      <c r="O12" s="220" t="s">
        <v>62</v>
      </c>
      <c r="P12" s="221"/>
    </row>
    <row r="13" spans="2:16" x14ac:dyDescent="0.25">
      <c r="B13" s="214"/>
      <c r="C13" s="216"/>
      <c r="D13" s="216"/>
      <c r="E13" s="216"/>
      <c r="F13" s="216"/>
      <c r="G13" s="216"/>
      <c r="H13" s="216"/>
      <c r="I13" s="216"/>
      <c r="J13" s="216"/>
      <c r="K13" s="216"/>
      <c r="L13" s="216"/>
      <c r="M13" s="216"/>
      <c r="N13" s="216"/>
      <c r="O13" s="58" t="s">
        <v>64</v>
      </c>
      <c r="P13" s="58" t="s">
        <v>65</v>
      </c>
    </row>
    <row r="14" spans="2:16" x14ac:dyDescent="0.25">
      <c r="B14" s="35" t="s">
        <v>77</v>
      </c>
      <c r="C14" s="35">
        <f>C5*32%</f>
        <v>1731.0592000000001</v>
      </c>
      <c r="D14" s="35">
        <f t="shared" ref="D14:N14" si="3">D5*32%</f>
        <v>1731.0592000000001</v>
      </c>
      <c r="E14" s="35">
        <f t="shared" si="3"/>
        <v>1731.0592000000001</v>
      </c>
      <c r="F14" s="35">
        <f t="shared" si="3"/>
        <v>1731.0592000000001</v>
      </c>
      <c r="G14" s="35">
        <f t="shared" si="3"/>
        <v>1731.0592000000001</v>
      </c>
      <c r="H14" s="35">
        <f t="shared" si="3"/>
        <v>1731.0592000000001</v>
      </c>
      <c r="I14" s="35">
        <f t="shared" si="3"/>
        <v>1731.0592000000001</v>
      </c>
      <c r="J14" s="35">
        <f t="shared" si="3"/>
        <v>1731.0592000000001</v>
      </c>
      <c r="K14" s="35">
        <f t="shared" si="3"/>
        <v>1731.0592000000001</v>
      </c>
      <c r="L14" s="35">
        <f t="shared" si="3"/>
        <v>1731.0592000000001</v>
      </c>
      <c r="M14" s="35">
        <f t="shared" si="3"/>
        <v>1731.0592000000001</v>
      </c>
      <c r="N14" s="35">
        <f t="shared" si="3"/>
        <v>1731.0592000000001</v>
      </c>
      <c r="O14" s="60" t="s">
        <v>78</v>
      </c>
      <c r="P14" s="61">
        <f>SUM(C14:N14)</f>
        <v>20772.7104</v>
      </c>
    </row>
    <row r="15" spans="2:16" x14ac:dyDescent="0.25">
      <c r="B15" s="34" t="s">
        <v>79</v>
      </c>
      <c r="C15" s="34">
        <f>C14*20%</f>
        <v>346.21184000000005</v>
      </c>
      <c r="D15" s="34">
        <f t="shared" ref="D15:N15" si="4">D14*20%</f>
        <v>346.21184000000005</v>
      </c>
      <c r="E15" s="34">
        <f t="shared" si="4"/>
        <v>346.21184000000005</v>
      </c>
      <c r="F15" s="34">
        <f t="shared" si="4"/>
        <v>346.21184000000005</v>
      </c>
      <c r="G15" s="34">
        <f t="shared" si="4"/>
        <v>346.21184000000005</v>
      </c>
      <c r="H15" s="34">
        <f t="shared" si="4"/>
        <v>346.21184000000005</v>
      </c>
      <c r="I15" s="34">
        <f t="shared" si="4"/>
        <v>346.21184000000005</v>
      </c>
      <c r="J15" s="34">
        <f t="shared" si="4"/>
        <v>346.21184000000005</v>
      </c>
      <c r="K15" s="34">
        <f t="shared" si="4"/>
        <v>346.21184000000005</v>
      </c>
      <c r="L15" s="34">
        <f t="shared" si="4"/>
        <v>346.21184000000005</v>
      </c>
      <c r="M15" s="34">
        <f t="shared" si="4"/>
        <v>346.21184000000005</v>
      </c>
      <c r="N15" s="34">
        <f t="shared" si="4"/>
        <v>346.21184000000005</v>
      </c>
      <c r="O15" s="34"/>
      <c r="P15" s="34"/>
    </row>
    <row r="16" spans="2:16" x14ac:dyDescent="0.25">
      <c r="B16" s="34" t="s">
        <v>80</v>
      </c>
      <c r="C16" s="34">
        <f>C14+C15</f>
        <v>2077.2710400000001</v>
      </c>
      <c r="D16" s="34">
        <f t="shared" ref="D16:N16" si="5">D14+D15</f>
        <v>2077.2710400000001</v>
      </c>
      <c r="E16" s="34">
        <f t="shared" si="5"/>
        <v>2077.2710400000001</v>
      </c>
      <c r="F16" s="34">
        <f t="shared" si="5"/>
        <v>2077.2710400000001</v>
      </c>
      <c r="G16" s="34">
        <f t="shared" si="5"/>
        <v>2077.2710400000001</v>
      </c>
      <c r="H16" s="34">
        <f t="shared" si="5"/>
        <v>2077.2710400000001</v>
      </c>
      <c r="I16" s="34">
        <f t="shared" si="5"/>
        <v>2077.2710400000001</v>
      </c>
      <c r="J16" s="34">
        <f t="shared" si="5"/>
        <v>2077.2710400000001</v>
      </c>
      <c r="K16" s="34">
        <f t="shared" si="5"/>
        <v>2077.2710400000001</v>
      </c>
      <c r="L16" s="34">
        <f t="shared" si="5"/>
        <v>2077.2710400000001</v>
      </c>
      <c r="M16" s="34">
        <f t="shared" si="5"/>
        <v>2077.2710400000001</v>
      </c>
      <c r="N16" s="34">
        <f t="shared" si="5"/>
        <v>2077.2710400000001</v>
      </c>
      <c r="O16" s="34"/>
      <c r="P16" s="34"/>
    </row>
    <row r="17" spans="2:17" x14ac:dyDescent="0.25">
      <c r="B17" s="59" t="s">
        <v>81</v>
      </c>
      <c r="C17" s="59">
        <f>C16</f>
        <v>2077.2710400000001</v>
      </c>
      <c r="D17" s="59">
        <f>D16</f>
        <v>2077.2710400000001</v>
      </c>
      <c r="E17" s="59">
        <f t="shared" ref="E17:N17" si="6">E16</f>
        <v>2077.2710400000001</v>
      </c>
      <c r="F17" s="59">
        <f t="shared" si="6"/>
        <v>2077.2710400000001</v>
      </c>
      <c r="G17" s="59">
        <f t="shared" si="6"/>
        <v>2077.2710400000001</v>
      </c>
      <c r="H17" s="59">
        <f t="shared" si="6"/>
        <v>2077.2710400000001</v>
      </c>
      <c r="I17" s="59">
        <f t="shared" si="6"/>
        <v>2077.2710400000001</v>
      </c>
      <c r="J17" s="59">
        <f t="shared" si="6"/>
        <v>2077.2710400000001</v>
      </c>
      <c r="K17" s="59">
        <f t="shared" si="6"/>
        <v>2077.2710400000001</v>
      </c>
      <c r="L17" s="59">
        <f t="shared" si="6"/>
        <v>2077.2710400000001</v>
      </c>
      <c r="M17" s="59">
        <f t="shared" si="6"/>
        <v>2077.2710400000001</v>
      </c>
      <c r="N17" s="59">
        <f t="shared" si="6"/>
        <v>2077.2710400000001</v>
      </c>
      <c r="O17" s="60" t="s">
        <v>82</v>
      </c>
      <c r="P17" s="61">
        <v>0</v>
      </c>
    </row>
    <row r="20" spans="2:17" x14ac:dyDescent="0.25">
      <c r="B20" s="267" t="s">
        <v>142</v>
      </c>
      <c r="C20" s="267"/>
      <c r="D20" s="267"/>
      <c r="E20" s="267"/>
      <c r="F20" s="267"/>
      <c r="G20" s="267"/>
      <c r="H20" s="267"/>
      <c r="I20" s="267"/>
      <c r="J20" s="267"/>
      <c r="K20" s="267"/>
      <c r="L20" s="267"/>
      <c r="M20" s="267"/>
      <c r="N20" s="267"/>
      <c r="O20" s="267"/>
      <c r="P20" s="267"/>
    </row>
    <row r="21" spans="2:17" x14ac:dyDescent="0.25">
      <c r="B21" s="213"/>
      <c r="C21" s="215" t="s">
        <v>50</v>
      </c>
      <c r="D21" s="215" t="s">
        <v>51</v>
      </c>
      <c r="E21" s="215" t="s">
        <v>52</v>
      </c>
      <c r="F21" s="215" t="s">
        <v>53</v>
      </c>
      <c r="G21" s="215" t="s">
        <v>54</v>
      </c>
      <c r="H21" s="215" t="s">
        <v>55</v>
      </c>
      <c r="I21" s="215" t="s">
        <v>56</v>
      </c>
      <c r="J21" s="215" t="s">
        <v>57</v>
      </c>
      <c r="K21" s="215" t="s">
        <v>58</v>
      </c>
      <c r="L21" s="215" t="s">
        <v>59</v>
      </c>
      <c r="M21" s="215" t="s">
        <v>60</v>
      </c>
      <c r="N21" s="215" t="s">
        <v>61</v>
      </c>
      <c r="O21" s="220" t="s">
        <v>62</v>
      </c>
      <c r="P21" s="221"/>
    </row>
    <row r="22" spans="2:17" x14ac:dyDescent="0.25">
      <c r="B22" s="214"/>
      <c r="C22" s="216"/>
      <c r="D22" s="216"/>
      <c r="E22" s="216"/>
      <c r="F22" s="216"/>
      <c r="G22" s="216"/>
      <c r="H22" s="216"/>
      <c r="I22" s="216"/>
      <c r="J22" s="216"/>
      <c r="K22" s="216"/>
      <c r="L22" s="216"/>
      <c r="M22" s="216"/>
      <c r="N22" s="216"/>
      <c r="O22" s="58" t="s">
        <v>64</v>
      </c>
      <c r="P22" s="58" t="s">
        <v>65</v>
      </c>
    </row>
    <row r="23" spans="2:17" x14ac:dyDescent="0.25">
      <c r="B23" s="21" t="s">
        <v>84</v>
      </c>
      <c r="C23" s="21">
        <v>7100</v>
      </c>
      <c r="D23" s="21">
        <v>7100</v>
      </c>
      <c r="E23" s="21">
        <v>7100</v>
      </c>
      <c r="F23" s="21">
        <v>7100</v>
      </c>
      <c r="G23" s="21">
        <v>7100</v>
      </c>
      <c r="H23" s="21">
        <v>7100</v>
      </c>
      <c r="I23" s="21">
        <v>7100</v>
      </c>
      <c r="J23" s="21">
        <v>7100</v>
      </c>
      <c r="K23" s="21">
        <v>7100</v>
      </c>
      <c r="L23" s="21">
        <v>7100</v>
      </c>
      <c r="M23" s="21">
        <v>7100</v>
      </c>
      <c r="N23" s="22">
        <v>7100</v>
      </c>
      <c r="O23" s="60" t="s">
        <v>85</v>
      </c>
      <c r="P23" s="61">
        <f>SUM(C23:N23)</f>
        <v>85200</v>
      </c>
    </row>
    <row r="24" spans="2:17" x14ac:dyDescent="0.25">
      <c r="B24" s="21" t="s">
        <v>86</v>
      </c>
      <c r="C24" s="21">
        <f>C23*20%</f>
        <v>1420</v>
      </c>
      <c r="D24" s="21">
        <f t="shared" ref="D24:N24" si="7">D23*20%</f>
        <v>1420</v>
      </c>
      <c r="E24" s="21">
        <f t="shared" si="7"/>
        <v>1420</v>
      </c>
      <c r="F24" s="21">
        <f t="shared" si="7"/>
        <v>1420</v>
      </c>
      <c r="G24" s="21">
        <f t="shared" si="7"/>
        <v>1420</v>
      </c>
      <c r="H24" s="21">
        <f t="shared" si="7"/>
        <v>1420</v>
      </c>
      <c r="I24" s="21">
        <f t="shared" si="7"/>
        <v>1420</v>
      </c>
      <c r="J24" s="21">
        <f t="shared" si="7"/>
        <v>1420</v>
      </c>
      <c r="K24" s="21">
        <f t="shared" si="7"/>
        <v>1420</v>
      </c>
      <c r="L24" s="21">
        <f t="shared" si="7"/>
        <v>1420</v>
      </c>
      <c r="M24" s="21">
        <f t="shared" si="7"/>
        <v>1420</v>
      </c>
      <c r="N24" s="22">
        <f t="shared" si="7"/>
        <v>1420</v>
      </c>
      <c r="O24" s="47"/>
      <c r="P24" s="48"/>
    </row>
    <row r="25" spans="2:17" x14ac:dyDescent="0.25">
      <c r="B25" s="23" t="s">
        <v>87</v>
      </c>
      <c r="C25" s="23">
        <f>C23+C24</f>
        <v>8520</v>
      </c>
      <c r="D25" s="23">
        <f t="shared" ref="D25:N25" si="8">D23+D24</f>
        <v>8520</v>
      </c>
      <c r="E25" s="23">
        <f t="shared" si="8"/>
        <v>8520</v>
      </c>
      <c r="F25" s="23">
        <f t="shared" si="8"/>
        <v>8520</v>
      </c>
      <c r="G25" s="23">
        <f t="shared" si="8"/>
        <v>8520</v>
      </c>
      <c r="H25" s="23">
        <f t="shared" si="8"/>
        <v>8520</v>
      </c>
      <c r="I25" s="23">
        <f t="shared" si="8"/>
        <v>8520</v>
      </c>
      <c r="J25" s="23">
        <f t="shared" si="8"/>
        <v>8520</v>
      </c>
      <c r="K25" s="23">
        <f t="shared" si="8"/>
        <v>8520</v>
      </c>
      <c r="L25" s="23">
        <f t="shared" si="8"/>
        <v>8520</v>
      </c>
      <c r="M25" s="23">
        <f t="shared" si="8"/>
        <v>8520</v>
      </c>
      <c r="N25" s="25">
        <f t="shared" si="8"/>
        <v>8520</v>
      </c>
      <c r="O25" s="34"/>
      <c r="P25" s="34"/>
    </row>
    <row r="26" spans="2:17" x14ac:dyDescent="0.25">
      <c r="B26" s="59" t="s">
        <v>81</v>
      </c>
      <c r="C26" s="59">
        <f>+C23+C24</f>
        <v>8520</v>
      </c>
      <c r="D26" s="59">
        <f t="shared" ref="D26:N26" si="9">+D23+D24</f>
        <v>8520</v>
      </c>
      <c r="E26" s="59">
        <f t="shared" si="9"/>
        <v>8520</v>
      </c>
      <c r="F26" s="59">
        <f t="shared" si="9"/>
        <v>8520</v>
      </c>
      <c r="G26" s="59">
        <f t="shared" si="9"/>
        <v>8520</v>
      </c>
      <c r="H26" s="59">
        <f t="shared" si="9"/>
        <v>8520</v>
      </c>
      <c r="I26" s="59">
        <f t="shared" si="9"/>
        <v>8520</v>
      </c>
      <c r="J26" s="59">
        <f t="shared" si="9"/>
        <v>8520</v>
      </c>
      <c r="K26" s="59">
        <f t="shared" si="9"/>
        <v>8520</v>
      </c>
      <c r="L26" s="59">
        <f t="shared" si="9"/>
        <v>8520</v>
      </c>
      <c r="M26" s="59">
        <f t="shared" si="9"/>
        <v>8520</v>
      </c>
      <c r="N26" s="59">
        <f t="shared" si="9"/>
        <v>8520</v>
      </c>
      <c r="O26" s="47"/>
      <c r="P26" s="34"/>
    </row>
    <row r="27" spans="2:17" x14ac:dyDescent="0.25">
      <c r="B27" s="28" t="s">
        <v>89</v>
      </c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2">
        <v>7500</v>
      </c>
      <c r="O27" s="47"/>
      <c r="P27" s="48"/>
      <c r="Q27" s="20" t="s">
        <v>166</v>
      </c>
    </row>
    <row r="28" spans="2:17" x14ac:dyDescent="0.25">
      <c r="B28" s="26" t="s">
        <v>144</v>
      </c>
      <c r="C28" s="27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2">
        <f>P28</f>
        <v>3214.2857142857142</v>
      </c>
      <c r="O28" s="60" t="s">
        <v>90</v>
      </c>
      <c r="P28" s="61">
        <f>Emprunt!K4</f>
        <v>3214.2857142857142</v>
      </c>
    </row>
    <row r="29" spans="2:17" x14ac:dyDescent="0.25">
      <c r="B29" s="29" t="s">
        <v>145</v>
      </c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2">
        <f>P29</f>
        <v>991.66666666666674</v>
      </c>
      <c r="O29" s="60" t="s">
        <v>90</v>
      </c>
      <c r="P29" s="61">
        <f>Emprunt!K14</f>
        <v>991.66666666666674</v>
      </c>
    </row>
    <row r="30" spans="2:17" x14ac:dyDescent="0.25">
      <c r="B30" s="59" t="s">
        <v>94</v>
      </c>
      <c r="C30" s="59">
        <f>C27+C28</f>
        <v>0</v>
      </c>
      <c r="D30" s="59">
        <f t="shared" ref="D30:M30" si="10">D27+D28</f>
        <v>0</v>
      </c>
      <c r="E30" s="59">
        <f t="shared" si="10"/>
        <v>0</v>
      </c>
      <c r="F30" s="59">
        <f t="shared" si="10"/>
        <v>0</v>
      </c>
      <c r="G30" s="59">
        <f t="shared" si="10"/>
        <v>0</v>
      </c>
      <c r="H30" s="59">
        <f t="shared" si="10"/>
        <v>0</v>
      </c>
      <c r="I30" s="59">
        <f t="shared" si="10"/>
        <v>0</v>
      </c>
      <c r="J30" s="59">
        <f t="shared" si="10"/>
        <v>0</v>
      </c>
      <c r="K30" s="59">
        <f t="shared" si="10"/>
        <v>0</v>
      </c>
      <c r="L30" s="59">
        <f t="shared" si="10"/>
        <v>0</v>
      </c>
      <c r="M30" s="59">
        <f t="shared" si="10"/>
        <v>0</v>
      </c>
      <c r="N30" s="59">
        <f>N27+N28+N29</f>
        <v>11705.95238095238</v>
      </c>
      <c r="O30" s="60" t="s">
        <v>93</v>
      </c>
      <c r="P30" s="61">
        <f>SUM(C30:N30)</f>
        <v>11705.95238095238</v>
      </c>
    </row>
    <row r="31" spans="2:17" x14ac:dyDescent="0.25">
      <c r="B31" s="21" t="s">
        <v>95</v>
      </c>
      <c r="C31" s="21">
        <f t="shared" ref="C31:N31" si="11">307500/12</f>
        <v>25625</v>
      </c>
      <c r="D31" s="21">
        <f t="shared" si="11"/>
        <v>25625</v>
      </c>
      <c r="E31" s="21">
        <f t="shared" si="11"/>
        <v>25625</v>
      </c>
      <c r="F31" s="21">
        <f t="shared" si="11"/>
        <v>25625</v>
      </c>
      <c r="G31" s="21">
        <f t="shared" si="11"/>
        <v>25625</v>
      </c>
      <c r="H31" s="21">
        <f t="shared" si="11"/>
        <v>25625</v>
      </c>
      <c r="I31" s="21">
        <f t="shared" si="11"/>
        <v>25625</v>
      </c>
      <c r="J31" s="21">
        <f t="shared" si="11"/>
        <v>25625</v>
      </c>
      <c r="K31" s="21">
        <f t="shared" si="11"/>
        <v>25625</v>
      </c>
      <c r="L31" s="21">
        <f t="shared" si="11"/>
        <v>25625</v>
      </c>
      <c r="M31" s="21">
        <f t="shared" si="11"/>
        <v>25625</v>
      </c>
      <c r="N31" s="22">
        <f t="shared" si="11"/>
        <v>25625</v>
      </c>
      <c r="O31" s="47"/>
      <c r="P31" s="48"/>
    </row>
    <row r="32" spans="2:17" x14ac:dyDescent="0.25">
      <c r="B32" s="59" t="s">
        <v>96</v>
      </c>
      <c r="C32" s="59">
        <f t="shared" ref="C32:N32" si="12">C31</f>
        <v>25625</v>
      </c>
      <c r="D32" s="59">
        <f t="shared" si="12"/>
        <v>25625</v>
      </c>
      <c r="E32" s="59">
        <f t="shared" si="12"/>
        <v>25625</v>
      </c>
      <c r="F32" s="59">
        <f t="shared" si="12"/>
        <v>25625</v>
      </c>
      <c r="G32" s="59">
        <f t="shared" si="12"/>
        <v>25625</v>
      </c>
      <c r="H32" s="59">
        <f t="shared" si="12"/>
        <v>25625</v>
      </c>
      <c r="I32" s="59">
        <f t="shared" si="12"/>
        <v>25625</v>
      </c>
      <c r="J32" s="59">
        <f t="shared" si="12"/>
        <v>25625</v>
      </c>
      <c r="K32" s="59">
        <f t="shared" si="12"/>
        <v>25625</v>
      </c>
      <c r="L32" s="59">
        <f t="shared" si="12"/>
        <v>25625</v>
      </c>
      <c r="M32" s="59">
        <f t="shared" si="12"/>
        <v>25625</v>
      </c>
      <c r="N32" s="59">
        <f t="shared" si="12"/>
        <v>25625</v>
      </c>
      <c r="O32" s="60" t="s">
        <v>97</v>
      </c>
      <c r="P32" s="61">
        <f>SUM(C32:N32)</f>
        <v>307500</v>
      </c>
    </row>
    <row r="33" spans="2:17" x14ac:dyDescent="0.25">
      <c r="B33" s="21" t="s">
        <v>21</v>
      </c>
      <c r="C33" s="21">
        <f t="shared" ref="C33:N33" si="13">C31*0.4</f>
        <v>10250</v>
      </c>
      <c r="D33" s="21">
        <f t="shared" si="13"/>
        <v>10250</v>
      </c>
      <c r="E33" s="21">
        <f t="shared" si="13"/>
        <v>10250</v>
      </c>
      <c r="F33" s="21">
        <f t="shared" si="13"/>
        <v>10250</v>
      </c>
      <c r="G33" s="21">
        <f t="shared" si="13"/>
        <v>10250</v>
      </c>
      <c r="H33" s="21">
        <f t="shared" si="13"/>
        <v>10250</v>
      </c>
      <c r="I33" s="21">
        <f t="shared" si="13"/>
        <v>10250</v>
      </c>
      <c r="J33" s="21">
        <f t="shared" si="13"/>
        <v>10250</v>
      </c>
      <c r="K33" s="21">
        <f t="shared" si="13"/>
        <v>10250</v>
      </c>
      <c r="L33" s="21">
        <f t="shared" si="13"/>
        <v>10250</v>
      </c>
      <c r="M33" s="21">
        <f t="shared" si="13"/>
        <v>10250</v>
      </c>
      <c r="N33" s="22">
        <f t="shared" si="13"/>
        <v>10250</v>
      </c>
      <c r="O33" s="60" t="s">
        <v>98</v>
      </c>
      <c r="P33" s="61">
        <f>SUM(C33:N33)</f>
        <v>123000</v>
      </c>
    </row>
    <row r="34" spans="2:17" x14ac:dyDescent="0.25">
      <c r="B34" s="59" t="s">
        <v>99</v>
      </c>
      <c r="C34" s="59">
        <f>'Budget Prev 3 années SANS PRECO'!P33</f>
        <v>10250</v>
      </c>
      <c r="D34" s="59">
        <f t="shared" ref="D34:N34" si="14">C33</f>
        <v>10250</v>
      </c>
      <c r="E34" s="59">
        <f t="shared" si="14"/>
        <v>10250</v>
      </c>
      <c r="F34" s="59">
        <f t="shared" si="14"/>
        <v>10250</v>
      </c>
      <c r="G34" s="59">
        <f t="shared" si="14"/>
        <v>10250</v>
      </c>
      <c r="H34" s="59">
        <f t="shared" si="14"/>
        <v>10250</v>
      </c>
      <c r="I34" s="59">
        <f t="shared" si="14"/>
        <v>10250</v>
      </c>
      <c r="J34" s="59">
        <f t="shared" si="14"/>
        <v>10250</v>
      </c>
      <c r="K34" s="59">
        <f t="shared" si="14"/>
        <v>10250</v>
      </c>
      <c r="L34" s="59">
        <f t="shared" si="14"/>
        <v>10250</v>
      </c>
      <c r="M34" s="59">
        <f t="shared" si="14"/>
        <v>10250</v>
      </c>
      <c r="N34" s="59">
        <f t="shared" si="14"/>
        <v>10250</v>
      </c>
      <c r="O34" s="60" t="s">
        <v>100</v>
      </c>
      <c r="P34" s="61">
        <f>N33</f>
        <v>10250</v>
      </c>
    </row>
    <row r="37" spans="2:17" x14ac:dyDescent="0.25">
      <c r="B37" s="267" t="s">
        <v>147</v>
      </c>
      <c r="C37" s="267"/>
      <c r="D37" s="267"/>
      <c r="E37" s="267"/>
      <c r="F37" s="267"/>
      <c r="G37" s="267"/>
      <c r="H37" s="267"/>
      <c r="I37" s="267"/>
      <c r="J37" s="267"/>
      <c r="K37" s="267"/>
      <c r="L37" s="267"/>
      <c r="M37" s="267"/>
      <c r="N37" s="267"/>
      <c r="O37" s="267"/>
      <c r="P37" s="267"/>
    </row>
    <row r="38" spans="2:17" x14ac:dyDescent="0.25">
      <c r="B38" s="213"/>
      <c r="C38" s="215" t="s">
        <v>50</v>
      </c>
      <c r="D38" s="215" t="s">
        <v>51</v>
      </c>
      <c r="E38" s="215" t="s">
        <v>52</v>
      </c>
      <c r="F38" s="215" t="s">
        <v>53</v>
      </c>
      <c r="G38" s="215" t="s">
        <v>54</v>
      </c>
      <c r="H38" s="215" t="s">
        <v>55</v>
      </c>
      <c r="I38" s="215" t="s">
        <v>56</v>
      </c>
      <c r="J38" s="215" t="s">
        <v>57</v>
      </c>
      <c r="K38" s="215" t="s">
        <v>58</v>
      </c>
      <c r="L38" s="215" t="s">
        <v>59</v>
      </c>
      <c r="M38" s="215" t="s">
        <v>60</v>
      </c>
      <c r="N38" s="215" t="s">
        <v>61</v>
      </c>
      <c r="O38" s="220" t="s">
        <v>62</v>
      </c>
      <c r="P38" s="221"/>
    </row>
    <row r="39" spans="2:17" x14ac:dyDescent="0.25">
      <c r="B39" s="214"/>
      <c r="C39" s="216"/>
      <c r="D39" s="216"/>
      <c r="E39" s="216"/>
      <c r="F39" s="216"/>
      <c r="G39" s="216"/>
      <c r="H39" s="216"/>
      <c r="I39" s="216"/>
      <c r="J39" s="216"/>
      <c r="K39" s="216"/>
      <c r="L39" s="216"/>
      <c r="M39" s="216"/>
      <c r="N39" s="216"/>
      <c r="O39" s="58" t="s">
        <v>64</v>
      </c>
      <c r="P39" s="58" t="s">
        <v>65</v>
      </c>
    </row>
    <row r="40" spans="2:17" x14ac:dyDescent="0.25">
      <c r="B40" s="46" t="s">
        <v>102</v>
      </c>
      <c r="C40" s="35"/>
      <c r="D40" s="35"/>
      <c r="E40" s="35"/>
      <c r="F40" s="35"/>
      <c r="G40" s="35"/>
      <c r="H40" s="35"/>
      <c r="I40" s="35"/>
      <c r="J40" s="35"/>
      <c r="K40" s="35"/>
      <c r="L40" s="35">
        <v>8200</v>
      </c>
      <c r="M40" s="35"/>
      <c r="N40" s="35"/>
      <c r="O40" s="60" t="s">
        <v>103</v>
      </c>
      <c r="P40" s="61">
        <f>SUM(C40:N40)</f>
        <v>8200</v>
      </c>
    </row>
    <row r="41" spans="2:17" x14ac:dyDescent="0.25">
      <c r="B41" s="34" t="s">
        <v>105</v>
      </c>
      <c r="C41" s="34"/>
      <c r="D41" s="34"/>
      <c r="E41" s="34"/>
      <c r="F41" s="34"/>
      <c r="G41" s="34"/>
      <c r="H41" s="34"/>
      <c r="I41" s="34"/>
      <c r="J41" s="34"/>
      <c r="K41" s="34"/>
      <c r="L41" s="34">
        <v>8200</v>
      </c>
      <c r="M41" s="34"/>
      <c r="N41" s="34"/>
      <c r="O41" s="34"/>
      <c r="P41" s="34"/>
    </row>
    <row r="42" spans="2:17" x14ac:dyDescent="0.25">
      <c r="B42" s="34" t="s">
        <v>106</v>
      </c>
      <c r="C42" s="34">
        <f>$P$42/12</f>
        <v>262.50000000000006</v>
      </c>
      <c r="D42" s="34">
        <f t="shared" ref="D42:N42" si="15">$P$42/12</f>
        <v>262.50000000000006</v>
      </c>
      <c r="E42" s="34">
        <f t="shared" si="15"/>
        <v>262.50000000000006</v>
      </c>
      <c r="F42" s="34">
        <f t="shared" si="15"/>
        <v>262.50000000000006</v>
      </c>
      <c r="G42" s="34">
        <f t="shared" si="15"/>
        <v>262.50000000000006</v>
      </c>
      <c r="H42" s="34">
        <f t="shared" si="15"/>
        <v>262.50000000000006</v>
      </c>
      <c r="I42" s="34">
        <f t="shared" si="15"/>
        <v>262.50000000000006</v>
      </c>
      <c r="J42" s="34">
        <f t="shared" si="15"/>
        <v>262.50000000000006</v>
      </c>
      <c r="K42" s="34">
        <f t="shared" si="15"/>
        <v>262.50000000000006</v>
      </c>
      <c r="L42" s="34">
        <f t="shared" si="15"/>
        <v>262.50000000000006</v>
      </c>
      <c r="M42" s="34">
        <f t="shared" si="15"/>
        <v>262.50000000000006</v>
      </c>
      <c r="N42" s="34">
        <f t="shared" si="15"/>
        <v>262.50000000000006</v>
      </c>
      <c r="O42" s="60" t="s">
        <v>107</v>
      </c>
      <c r="P42" s="61">
        <f>Emprunt!D10</f>
        <v>3150.0000000000005</v>
      </c>
    </row>
    <row r="43" spans="2:17" x14ac:dyDescent="0.25">
      <c r="B43" s="34" t="s">
        <v>108</v>
      </c>
      <c r="C43" s="34">
        <f>$P$43/12</f>
        <v>2500</v>
      </c>
      <c r="D43" s="34">
        <f t="shared" ref="D43:N43" si="16">$P$43/12</f>
        <v>2500</v>
      </c>
      <c r="E43" s="34">
        <f t="shared" si="16"/>
        <v>2500</v>
      </c>
      <c r="F43" s="34">
        <f t="shared" si="16"/>
        <v>2500</v>
      </c>
      <c r="G43" s="34">
        <f t="shared" si="16"/>
        <v>2500</v>
      </c>
      <c r="H43" s="34">
        <f t="shared" si="16"/>
        <v>2500</v>
      </c>
      <c r="I43" s="34">
        <f t="shared" si="16"/>
        <v>2500</v>
      </c>
      <c r="J43" s="34">
        <f t="shared" si="16"/>
        <v>2500</v>
      </c>
      <c r="K43" s="34">
        <f t="shared" si="16"/>
        <v>2500</v>
      </c>
      <c r="L43" s="34">
        <f t="shared" si="16"/>
        <v>2500</v>
      </c>
      <c r="M43" s="34">
        <f t="shared" si="16"/>
        <v>2500</v>
      </c>
      <c r="N43" s="34">
        <f t="shared" si="16"/>
        <v>2500</v>
      </c>
      <c r="O43" s="60" t="s">
        <v>109</v>
      </c>
      <c r="P43" s="61">
        <f>Emprunt!E9</f>
        <v>30000</v>
      </c>
      <c r="Q43" s="20" t="s">
        <v>167</v>
      </c>
    </row>
    <row r="44" spans="2:17" x14ac:dyDescent="0.25">
      <c r="B44" s="59" t="s">
        <v>71</v>
      </c>
      <c r="C44" s="59">
        <f>C42+C43</f>
        <v>2762.5</v>
      </c>
      <c r="D44" s="59">
        <f t="shared" ref="D44:N44" si="17">D42+D43</f>
        <v>2762.5</v>
      </c>
      <c r="E44" s="59">
        <f t="shared" si="17"/>
        <v>2762.5</v>
      </c>
      <c r="F44" s="59">
        <f t="shared" si="17"/>
        <v>2762.5</v>
      </c>
      <c r="G44" s="59">
        <f t="shared" si="17"/>
        <v>2762.5</v>
      </c>
      <c r="H44" s="59">
        <f t="shared" si="17"/>
        <v>2762.5</v>
      </c>
      <c r="I44" s="59">
        <f t="shared" si="17"/>
        <v>2762.5</v>
      </c>
      <c r="J44" s="59">
        <f t="shared" si="17"/>
        <v>2762.5</v>
      </c>
      <c r="K44" s="59">
        <f t="shared" si="17"/>
        <v>2762.5</v>
      </c>
      <c r="L44" s="59">
        <f t="shared" si="17"/>
        <v>2762.5</v>
      </c>
      <c r="M44" s="59">
        <f t="shared" si="17"/>
        <v>2762.5</v>
      </c>
      <c r="N44" s="59">
        <f t="shared" si="17"/>
        <v>2762.5</v>
      </c>
      <c r="O44" s="38"/>
      <c r="P44" s="38"/>
    </row>
    <row r="47" spans="2:17" x14ac:dyDescent="0.25">
      <c r="B47" s="36" t="s">
        <v>148</v>
      </c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</row>
    <row r="48" spans="2:17" x14ac:dyDescent="0.25">
      <c r="B48" s="213"/>
      <c r="C48" s="215" t="s">
        <v>50</v>
      </c>
      <c r="D48" s="215" t="s">
        <v>51</v>
      </c>
      <c r="E48" s="215" t="s">
        <v>52</v>
      </c>
      <c r="F48" s="215" t="s">
        <v>53</v>
      </c>
      <c r="G48" s="215" t="s">
        <v>54</v>
      </c>
      <c r="H48" s="215" t="s">
        <v>55</v>
      </c>
      <c r="I48" s="215" t="s">
        <v>56</v>
      </c>
      <c r="J48" s="215" t="s">
        <v>57</v>
      </c>
      <c r="K48" s="215" t="s">
        <v>58</v>
      </c>
      <c r="L48" s="215" t="s">
        <v>59</v>
      </c>
      <c r="M48" s="215" t="s">
        <v>60</v>
      </c>
      <c r="N48" s="215" t="s">
        <v>61</v>
      </c>
      <c r="O48" s="220" t="s">
        <v>62</v>
      </c>
      <c r="P48" s="221"/>
    </row>
    <row r="49" spans="2:16" x14ac:dyDescent="0.25">
      <c r="B49" s="214"/>
      <c r="C49" s="216"/>
      <c r="D49" s="216"/>
      <c r="E49" s="216"/>
      <c r="F49" s="216"/>
      <c r="G49" s="216"/>
      <c r="H49" s="216"/>
      <c r="I49" s="216"/>
      <c r="J49" s="216"/>
      <c r="K49" s="216"/>
      <c r="L49" s="216"/>
      <c r="M49" s="216"/>
      <c r="N49" s="216"/>
      <c r="O49" s="58" t="s">
        <v>64</v>
      </c>
      <c r="P49" s="58" t="s">
        <v>65</v>
      </c>
    </row>
    <row r="50" spans="2:16" x14ac:dyDescent="0.25">
      <c r="B50" s="35" t="s">
        <v>111</v>
      </c>
      <c r="C50" s="35"/>
      <c r="D50" s="35"/>
      <c r="E50" s="35"/>
      <c r="F50" s="35"/>
      <c r="G50" s="35"/>
      <c r="H50" s="35">
        <f>Emprunt!J14</f>
        <v>17000</v>
      </c>
      <c r="I50" s="35"/>
      <c r="J50" s="35"/>
      <c r="K50" s="35"/>
      <c r="L50" s="35"/>
      <c r="M50" s="35"/>
      <c r="N50" s="35"/>
      <c r="O50" s="60" t="s">
        <v>112</v>
      </c>
      <c r="P50" s="61">
        <f>SUM(C50:N50)</f>
        <v>17000</v>
      </c>
    </row>
    <row r="51" spans="2:16" x14ac:dyDescent="0.25">
      <c r="B51" s="34" t="s">
        <v>113</v>
      </c>
      <c r="C51" s="34">
        <f>C50*20%</f>
        <v>0</v>
      </c>
      <c r="D51" s="34">
        <f t="shared" ref="D51:N51" si="18">D50*20%</f>
        <v>0</v>
      </c>
      <c r="E51" s="34">
        <f t="shared" si="18"/>
        <v>0</v>
      </c>
      <c r="F51" s="34">
        <f t="shared" si="18"/>
        <v>0</v>
      </c>
      <c r="G51" s="34">
        <f t="shared" si="18"/>
        <v>0</v>
      </c>
      <c r="H51" s="34">
        <f t="shared" si="18"/>
        <v>3400</v>
      </c>
      <c r="I51" s="34">
        <f t="shared" si="18"/>
        <v>0</v>
      </c>
      <c r="J51" s="34">
        <f t="shared" si="18"/>
        <v>0</v>
      </c>
      <c r="K51" s="34">
        <f t="shared" si="18"/>
        <v>0</v>
      </c>
      <c r="L51" s="34">
        <f t="shared" si="18"/>
        <v>0</v>
      </c>
      <c r="M51" s="34">
        <f t="shared" si="18"/>
        <v>0</v>
      </c>
      <c r="N51" s="34">
        <f t="shared" si="18"/>
        <v>0</v>
      </c>
      <c r="O51" s="34"/>
      <c r="P51" s="34"/>
    </row>
    <row r="52" spans="2:16" x14ac:dyDescent="0.25">
      <c r="B52" s="34" t="s">
        <v>114</v>
      </c>
      <c r="C52" s="34">
        <f>C50+C51</f>
        <v>0</v>
      </c>
      <c r="D52" s="34">
        <f t="shared" ref="D52:N52" si="19">D50+D51</f>
        <v>0</v>
      </c>
      <c r="E52" s="34">
        <f t="shared" si="19"/>
        <v>0</v>
      </c>
      <c r="F52" s="34">
        <f t="shared" si="19"/>
        <v>0</v>
      </c>
      <c r="G52" s="34">
        <f t="shared" si="19"/>
        <v>0</v>
      </c>
      <c r="H52" s="34">
        <f t="shared" si="19"/>
        <v>20400</v>
      </c>
      <c r="I52" s="34">
        <f t="shared" si="19"/>
        <v>0</v>
      </c>
      <c r="J52" s="34">
        <f t="shared" si="19"/>
        <v>0</v>
      </c>
      <c r="K52" s="34">
        <f t="shared" si="19"/>
        <v>0</v>
      </c>
      <c r="L52" s="34">
        <f t="shared" si="19"/>
        <v>0</v>
      </c>
      <c r="M52" s="34">
        <f t="shared" si="19"/>
        <v>0</v>
      </c>
      <c r="N52" s="34">
        <f t="shared" si="19"/>
        <v>0</v>
      </c>
      <c r="O52" s="34"/>
      <c r="P52" s="34"/>
    </row>
    <row r="53" spans="2:16" x14ac:dyDescent="0.25">
      <c r="B53" s="59" t="s">
        <v>81</v>
      </c>
      <c r="C53" s="59">
        <f>C52</f>
        <v>0</v>
      </c>
      <c r="D53" s="59">
        <f t="shared" ref="D53:N53" si="20">D52</f>
        <v>0</v>
      </c>
      <c r="E53" s="59">
        <f t="shared" si="20"/>
        <v>0</v>
      </c>
      <c r="F53" s="59">
        <f t="shared" si="20"/>
        <v>0</v>
      </c>
      <c r="G53" s="59">
        <f t="shared" si="20"/>
        <v>0</v>
      </c>
      <c r="H53" s="59">
        <f t="shared" si="20"/>
        <v>20400</v>
      </c>
      <c r="I53" s="59">
        <f t="shared" si="20"/>
        <v>0</v>
      </c>
      <c r="J53" s="59">
        <f t="shared" si="20"/>
        <v>0</v>
      </c>
      <c r="K53" s="59">
        <f t="shared" si="20"/>
        <v>0</v>
      </c>
      <c r="L53" s="59">
        <f t="shared" si="20"/>
        <v>0</v>
      </c>
      <c r="M53" s="59">
        <f t="shared" si="20"/>
        <v>0</v>
      </c>
      <c r="N53" s="59">
        <f t="shared" si="20"/>
        <v>0</v>
      </c>
      <c r="O53" s="60" t="s">
        <v>115</v>
      </c>
      <c r="P53" s="61">
        <v>0</v>
      </c>
    </row>
    <row r="54" spans="2:16" x14ac:dyDescent="0.25">
      <c r="C54" s="20" t="s">
        <v>149</v>
      </c>
    </row>
    <row r="56" spans="2:16" x14ac:dyDescent="0.25">
      <c r="B56" s="36" t="s">
        <v>150</v>
      </c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</row>
    <row r="57" spans="2:16" x14ac:dyDescent="0.25">
      <c r="B57" s="213"/>
      <c r="C57" s="215" t="s">
        <v>50</v>
      </c>
      <c r="D57" s="215" t="s">
        <v>51</v>
      </c>
      <c r="E57" s="215" t="s">
        <v>52</v>
      </c>
      <c r="F57" s="215" t="s">
        <v>53</v>
      </c>
      <c r="G57" s="215" t="s">
        <v>54</v>
      </c>
      <c r="H57" s="215" t="s">
        <v>55</v>
      </c>
      <c r="I57" s="215" t="s">
        <v>56</v>
      </c>
      <c r="J57" s="215" t="s">
        <v>57</v>
      </c>
      <c r="K57" s="215" t="s">
        <v>58</v>
      </c>
      <c r="L57" s="215" t="s">
        <v>59</v>
      </c>
      <c r="M57" s="215" t="s">
        <v>60</v>
      </c>
      <c r="N57" s="215" t="s">
        <v>61</v>
      </c>
      <c r="O57" s="220" t="s">
        <v>62</v>
      </c>
      <c r="P57" s="221"/>
    </row>
    <row r="58" spans="2:16" x14ac:dyDescent="0.25">
      <c r="B58" s="214"/>
      <c r="C58" s="216"/>
      <c r="D58" s="216"/>
      <c r="E58" s="216"/>
      <c r="F58" s="216"/>
      <c r="G58" s="216"/>
      <c r="H58" s="216"/>
      <c r="I58" s="216"/>
      <c r="J58" s="216"/>
      <c r="K58" s="216"/>
      <c r="L58" s="216"/>
      <c r="M58" s="216"/>
      <c r="N58" s="216"/>
      <c r="O58" s="58" t="s">
        <v>64</v>
      </c>
      <c r="P58" s="58" t="s">
        <v>65</v>
      </c>
    </row>
    <row r="59" spans="2:16" x14ac:dyDescent="0.25">
      <c r="B59" s="59" t="s">
        <v>68</v>
      </c>
      <c r="C59" s="59">
        <f>C6</f>
        <v>1081.912</v>
      </c>
      <c r="D59" s="59">
        <f t="shared" ref="D59:N59" si="21">D6</f>
        <v>1081.912</v>
      </c>
      <c r="E59" s="59">
        <f t="shared" si="21"/>
        <v>1081.912</v>
      </c>
      <c r="F59" s="59">
        <f t="shared" si="21"/>
        <v>1081.912</v>
      </c>
      <c r="G59" s="59">
        <f t="shared" si="21"/>
        <v>1081.912</v>
      </c>
      <c r="H59" s="59">
        <f t="shared" si="21"/>
        <v>1081.912</v>
      </c>
      <c r="I59" s="59">
        <f t="shared" si="21"/>
        <v>1081.912</v>
      </c>
      <c r="J59" s="59">
        <f t="shared" si="21"/>
        <v>1081.912</v>
      </c>
      <c r="K59" s="59">
        <f t="shared" si="21"/>
        <v>1081.912</v>
      </c>
      <c r="L59" s="59">
        <f t="shared" si="21"/>
        <v>1081.912</v>
      </c>
      <c r="M59" s="59">
        <f t="shared" si="21"/>
        <v>1081.912</v>
      </c>
      <c r="N59" s="59">
        <f t="shared" si="21"/>
        <v>1081.912</v>
      </c>
      <c r="O59" s="34"/>
      <c r="P59" s="34"/>
    </row>
    <row r="60" spans="2:16" x14ac:dyDescent="0.25">
      <c r="B60" s="34" t="s">
        <v>79</v>
      </c>
      <c r="C60" s="34">
        <f>C15</f>
        <v>346.21184000000005</v>
      </c>
      <c r="D60" s="34">
        <f t="shared" ref="D60:N60" si="22">D15</f>
        <v>346.21184000000005</v>
      </c>
      <c r="E60" s="34">
        <f t="shared" si="22"/>
        <v>346.21184000000005</v>
      </c>
      <c r="F60" s="34">
        <f t="shared" si="22"/>
        <v>346.21184000000005</v>
      </c>
      <c r="G60" s="34">
        <f t="shared" si="22"/>
        <v>346.21184000000005</v>
      </c>
      <c r="H60" s="34">
        <f t="shared" si="22"/>
        <v>346.21184000000005</v>
      </c>
      <c r="I60" s="34">
        <f t="shared" si="22"/>
        <v>346.21184000000005</v>
      </c>
      <c r="J60" s="34">
        <f t="shared" si="22"/>
        <v>346.21184000000005</v>
      </c>
      <c r="K60" s="34">
        <f t="shared" si="22"/>
        <v>346.21184000000005</v>
      </c>
      <c r="L60" s="34">
        <f t="shared" si="22"/>
        <v>346.21184000000005</v>
      </c>
      <c r="M60" s="34">
        <f t="shared" si="22"/>
        <v>346.21184000000005</v>
      </c>
      <c r="N60" s="34">
        <f t="shared" si="22"/>
        <v>346.21184000000005</v>
      </c>
      <c r="O60" s="34"/>
      <c r="P60" s="34"/>
    </row>
    <row r="61" spans="2:16" x14ac:dyDescent="0.25">
      <c r="B61" s="34" t="s">
        <v>86</v>
      </c>
      <c r="C61" s="34">
        <f>C24</f>
        <v>1420</v>
      </c>
      <c r="D61" s="34">
        <f t="shared" ref="D61:N61" si="23">D24</f>
        <v>1420</v>
      </c>
      <c r="E61" s="34">
        <f t="shared" si="23"/>
        <v>1420</v>
      </c>
      <c r="F61" s="34">
        <f t="shared" si="23"/>
        <v>1420</v>
      </c>
      <c r="G61" s="34">
        <f t="shared" si="23"/>
        <v>1420</v>
      </c>
      <c r="H61" s="34">
        <f t="shared" si="23"/>
        <v>1420</v>
      </c>
      <c r="I61" s="34">
        <f t="shared" si="23"/>
        <v>1420</v>
      </c>
      <c r="J61" s="34">
        <f t="shared" si="23"/>
        <v>1420</v>
      </c>
      <c r="K61" s="34">
        <f t="shared" si="23"/>
        <v>1420</v>
      </c>
      <c r="L61" s="34">
        <f t="shared" si="23"/>
        <v>1420</v>
      </c>
      <c r="M61" s="34">
        <f t="shared" si="23"/>
        <v>1420</v>
      </c>
      <c r="N61" s="34">
        <f t="shared" si="23"/>
        <v>1420</v>
      </c>
      <c r="O61" s="34"/>
      <c r="P61" s="34"/>
    </row>
    <row r="62" spans="2:16" x14ac:dyDescent="0.25">
      <c r="B62" s="59" t="s">
        <v>113</v>
      </c>
      <c r="C62" s="59">
        <f>C51</f>
        <v>0</v>
      </c>
      <c r="D62" s="59">
        <f t="shared" ref="D62:N62" si="24">D51</f>
        <v>0</v>
      </c>
      <c r="E62" s="59">
        <f t="shared" si="24"/>
        <v>0</v>
      </c>
      <c r="F62" s="59">
        <f t="shared" si="24"/>
        <v>0</v>
      </c>
      <c r="G62" s="59">
        <f t="shared" si="24"/>
        <v>0</v>
      </c>
      <c r="H62" s="59">
        <f>H51</f>
        <v>3400</v>
      </c>
      <c r="I62" s="59">
        <f t="shared" si="24"/>
        <v>0</v>
      </c>
      <c r="J62" s="59">
        <f t="shared" si="24"/>
        <v>0</v>
      </c>
      <c r="K62" s="59">
        <f t="shared" si="24"/>
        <v>0</v>
      </c>
      <c r="L62" s="59">
        <f t="shared" si="24"/>
        <v>0</v>
      </c>
      <c r="M62" s="59">
        <f t="shared" si="24"/>
        <v>0</v>
      </c>
      <c r="N62" s="59">
        <f t="shared" si="24"/>
        <v>0</v>
      </c>
      <c r="O62" s="34"/>
      <c r="P62" s="34"/>
    </row>
    <row r="63" spans="2:16" x14ac:dyDescent="0.25">
      <c r="B63" s="44" t="s">
        <v>117</v>
      </c>
      <c r="C63" s="42">
        <f>C60+C61+C62</f>
        <v>1766.2118399999999</v>
      </c>
      <c r="D63" s="42">
        <f t="shared" ref="D63:N63" si="25">D60+D61+D62</f>
        <v>1766.2118399999999</v>
      </c>
      <c r="E63" s="42">
        <f t="shared" si="25"/>
        <v>1766.2118399999999</v>
      </c>
      <c r="F63" s="42">
        <f t="shared" si="25"/>
        <v>1766.2118399999999</v>
      </c>
      <c r="G63" s="42">
        <f t="shared" si="25"/>
        <v>1766.2118399999999</v>
      </c>
      <c r="H63" s="42">
        <f t="shared" si="25"/>
        <v>5166.2118399999999</v>
      </c>
      <c r="I63" s="42">
        <f t="shared" si="25"/>
        <v>1766.2118399999999</v>
      </c>
      <c r="J63" s="42">
        <f t="shared" si="25"/>
        <v>1766.2118399999999</v>
      </c>
      <c r="K63" s="42">
        <f t="shared" si="25"/>
        <v>1766.2118399999999</v>
      </c>
      <c r="L63" s="42">
        <f t="shared" si="25"/>
        <v>1766.2118399999999</v>
      </c>
      <c r="M63" s="42">
        <f t="shared" si="25"/>
        <v>1766.2118399999999</v>
      </c>
      <c r="N63" s="42">
        <f t="shared" si="25"/>
        <v>1766.2118399999999</v>
      </c>
      <c r="O63" s="34"/>
      <c r="P63" s="34"/>
    </row>
    <row r="64" spans="2:16" x14ac:dyDescent="0.25">
      <c r="B64" s="45" t="s">
        <v>118</v>
      </c>
      <c r="C64" s="43">
        <f>C59-C63</f>
        <v>-684.2998399999999</v>
      </c>
      <c r="D64" s="43">
        <f t="shared" ref="D64:N64" si="26">D59-D63</f>
        <v>-684.2998399999999</v>
      </c>
      <c r="E64" s="43">
        <f t="shared" si="26"/>
        <v>-684.2998399999999</v>
      </c>
      <c r="F64" s="43">
        <f t="shared" si="26"/>
        <v>-684.2998399999999</v>
      </c>
      <c r="G64" s="43">
        <f t="shared" si="26"/>
        <v>-684.2998399999999</v>
      </c>
      <c r="H64" s="43">
        <f t="shared" si="26"/>
        <v>-4084.2998399999997</v>
      </c>
      <c r="I64" s="43">
        <f t="shared" si="26"/>
        <v>-684.2998399999999</v>
      </c>
      <c r="J64" s="43">
        <f t="shared" si="26"/>
        <v>-684.2998399999999</v>
      </c>
      <c r="K64" s="43">
        <f t="shared" si="26"/>
        <v>-684.2998399999999</v>
      </c>
      <c r="L64" s="43">
        <f t="shared" si="26"/>
        <v>-684.2998399999999</v>
      </c>
      <c r="M64" s="43">
        <f t="shared" si="26"/>
        <v>-684.2998399999999</v>
      </c>
      <c r="N64" s="43">
        <f t="shared" si="26"/>
        <v>-684.2998399999999</v>
      </c>
      <c r="O64" s="34"/>
      <c r="P64" s="34"/>
    </row>
    <row r="65" spans="2:16" x14ac:dyDescent="0.25">
      <c r="B65" s="59" t="s">
        <v>81</v>
      </c>
      <c r="C65" s="59">
        <f>'Budget Prev 3 années SANS PRECO'!P64</f>
        <v>-684.7199999999998</v>
      </c>
      <c r="D65" s="59">
        <f>C64</f>
        <v>-684.2998399999999</v>
      </c>
      <c r="E65" s="59">
        <f t="shared" ref="E65:N65" si="27">D64</f>
        <v>-684.2998399999999</v>
      </c>
      <c r="F65" s="59">
        <f t="shared" si="27"/>
        <v>-684.2998399999999</v>
      </c>
      <c r="G65" s="59">
        <f t="shared" si="27"/>
        <v>-684.2998399999999</v>
      </c>
      <c r="H65" s="59">
        <f t="shared" si="27"/>
        <v>-684.2998399999999</v>
      </c>
      <c r="I65" s="59">
        <f t="shared" si="27"/>
        <v>-4084.2998399999997</v>
      </c>
      <c r="J65" s="59">
        <f t="shared" si="27"/>
        <v>-684.2998399999999</v>
      </c>
      <c r="K65" s="59">
        <f t="shared" si="27"/>
        <v>-684.2998399999999</v>
      </c>
      <c r="L65" s="59">
        <f t="shared" si="27"/>
        <v>-684.2998399999999</v>
      </c>
      <c r="M65" s="59">
        <f t="shared" si="27"/>
        <v>-684.2998399999999</v>
      </c>
      <c r="N65" s="59">
        <f t="shared" si="27"/>
        <v>-684.2998399999999</v>
      </c>
      <c r="O65" s="60" t="s">
        <v>119</v>
      </c>
      <c r="P65" s="61">
        <f>N64</f>
        <v>-684.2998399999999</v>
      </c>
    </row>
    <row r="68" spans="2:16" x14ac:dyDescent="0.25">
      <c r="B68" s="36" t="s">
        <v>151</v>
      </c>
      <c r="C68" s="36"/>
      <c r="D68" s="36"/>
      <c r="E68" s="36"/>
      <c r="F68" s="36"/>
      <c r="G68" s="36"/>
      <c r="H68" s="36"/>
      <c r="I68" s="36"/>
      <c r="J68" s="36"/>
      <c r="K68" s="36"/>
      <c r="L68" s="36"/>
      <c r="M68" s="36"/>
      <c r="N68" s="36"/>
      <c r="O68" s="36"/>
      <c r="P68" s="36"/>
    </row>
    <row r="69" spans="2:16" x14ac:dyDescent="0.25">
      <c r="B69" s="213"/>
      <c r="C69" s="215" t="s">
        <v>50</v>
      </c>
      <c r="D69" s="215" t="s">
        <v>51</v>
      </c>
      <c r="E69" s="215" t="s">
        <v>52</v>
      </c>
      <c r="F69" s="215" t="s">
        <v>53</v>
      </c>
      <c r="G69" s="215" t="s">
        <v>54</v>
      </c>
      <c r="H69" s="215" t="s">
        <v>55</v>
      </c>
      <c r="I69" s="215" t="s">
        <v>56</v>
      </c>
      <c r="J69" s="215" t="s">
        <v>57</v>
      </c>
      <c r="K69" s="215" t="s">
        <v>58</v>
      </c>
      <c r="L69" s="215" t="s">
        <v>59</v>
      </c>
      <c r="M69" s="215" t="s">
        <v>60</v>
      </c>
      <c r="N69" s="215" t="s">
        <v>61</v>
      </c>
      <c r="O69" s="220" t="s">
        <v>62</v>
      </c>
      <c r="P69" s="221"/>
    </row>
    <row r="70" spans="2:16" x14ac:dyDescent="0.25">
      <c r="B70" s="214"/>
      <c r="C70" s="216"/>
      <c r="D70" s="216"/>
      <c r="E70" s="216"/>
      <c r="F70" s="216"/>
      <c r="G70" s="216"/>
      <c r="H70" s="216"/>
      <c r="I70" s="216"/>
      <c r="J70" s="216"/>
      <c r="K70" s="216"/>
      <c r="L70" s="216"/>
      <c r="M70" s="216"/>
      <c r="N70" s="216"/>
      <c r="O70" s="58" t="s">
        <v>64</v>
      </c>
      <c r="P70" s="58" t="s">
        <v>65</v>
      </c>
    </row>
    <row r="71" spans="2:16" x14ac:dyDescent="0.25">
      <c r="B71" s="35" t="s">
        <v>121</v>
      </c>
      <c r="C71" s="35">
        <f>C8</f>
        <v>6302.4</v>
      </c>
      <c r="D71" s="35">
        <f t="shared" ref="D71:N71" si="28">D8</f>
        <v>6491.4720000000007</v>
      </c>
      <c r="E71" s="35">
        <f t="shared" si="28"/>
        <v>6491.4720000000007</v>
      </c>
      <c r="F71" s="35">
        <f t="shared" si="28"/>
        <v>6491.4720000000007</v>
      </c>
      <c r="G71" s="35">
        <f t="shared" si="28"/>
        <v>6491.4720000000007</v>
      </c>
      <c r="H71" s="35">
        <f t="shared" si="28"/>
        <v>6491.4720000000007</v>
      </c>
      <c r="I71" s="35">
        <f t="shared" si="28"/>
        <v>6491.4720000000007</v>
      </c>
      <c r="J71" s="43">
        <f t="shared" si="28"/>
        <v>6491.4720000000007</v>
      </c>
      <c r="K71" s="35">
        <f t="shared" si="28"/>
        <v>6491.4720000000007</v>
      </c>
      <c r="L71" s="35">
        <f t="shared" si="28"/>
        <v>6491.4720000000007</v>
      </c>
      <c r="M71" s="35">
        <f t="shared" si="28"/>
        <v>6491.4720000000007</v>
      </c>
      <c r="N71" s="35">
        <f t="shared" si="28"/>
        <v>6491.4720000000007</v>
      </c>
      <c r="O71" s="34"/>
      <c r="P71" s="34"/>
    </row>
    <row r="72" spans="2:16" x14ac:dyDescent="0.25">
      <c r="B72" s="34" t="s">
        <v>122</v>
      </c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34"/>
      <c r="P72" s="34"/>
    </row>
    <row r="73" spans="2:16" x14ac:dyDescent="0.25">
      <c r="B73" s="34" t="s">
        <v>123</v>
      </c>
      <c r="C73" s="34">
        <f>C72+C71</f>
        <v>6302.4</v>
      </c>
      <c r="D73" s="34">
        <f t="shared" ref="D73:N73" si="29">D72+D71</f>
        <v>6491.4720000000007</v>
      </c>
      <c r="E73" s="34">
        <f t="shared" si="29"/>
        <v>6491.4720000000007</v>
      </c>
      <c r="F73" s="34">
        <f t="shared" si="29"/>
        <v>6491.4720000000007</v>
      </c>
      <c r="G73" s="34">
        <f t="shared" si="29"/>
        <v>6491.4720000000007</v>
      </c>
      <c r="H73" s="34">
        <f t="shared" si="29"/>
        <v>6491.4720000000007</v>
      </c>
      <c r="I73" s="34">
        <f t="shared" si="29"/>
        <v>6491.4720000000007</v>
      </c>
      <c r="J73" s="34">
        <f t="shared" si="29"/>
        <v>6491.4720000000007</v>
      </c>
      <c r="K73" s="34">
        <f t="shared" si="29"/>
        <v>6491.4720000000007</v>
      </c>
      <c r="L73" s="34">
        <f t="shared" si="29"/>
        <v>6491.4720000000007</v>
      </c>
      <c r="M73" s="34">
        <f t="shared" si="29"/>
        <v>6491.4720000000007</v>
      </c>
      <c r="N73" s="34">
        <f t="shared" si="29"/>
        <v>6491.4720000000007</v>
      </c>
      <c r="O73" s="34"/>
      <c r="P73" s="34"/>
    </row>
    <row r="74" spans="2:16" x14ac:dyDescent="0.25">
      <c r="B74" s="59" t="s">
        <v>124</v>
      </c>
      <c r="C74" s="59">
        <f>C17</f>
        <v>2077.2710400000001</v>
      </c>
      <c r="D74" s="59">
        <f t="shared" ref="D74:N74" si="30">D17</f>
        <v>2077.2710400000001</v>
      </c>
      <c r="E74" s="59">
        <f t="shared" si="30"/>
        <v>2077.2710400000001</v>
      </c>
      <c r="F74" s="59">
        <f t="shared" si="30"/>
        <v>2077.2710400000001</v>
      </c>
      <c r="G74" s="59">
        <f t="shared" si="30"/>
        <v>2077.2710400000001</v>
      </c>
      <c r="H74" s="59">
        <f t="shared" si="30"/>
        <v>2077.2710400000001</v>
      </c>
      <c r="I74" s="59">
        <f t="shared" si="30"/>
        <v>2077.2710400000001</v>
      </c>
      <c r="J74" s="59">
        <f t="shared" si="30"/>
        <v>2077.2710400000001</v>
      </c>
      <c r="K74" s="59">
        <f t="shared" si="30"/>
        <v>2077.2710400000001</v>
      </c>
      <c r="L74" s="59">
        <f t="shared" si="30"/>
        <v>2077.2710400000001</v>
      </c>
      <c r="M74" s="59">
        <f t="shared" si="30"/>
        <v>2077.2710400000001</v>
      </c>
      <c r="N74" s="59">
        <f t="shared" si="30"/>
        <v>2077.2710400000001</v>
      </c>
      <c r="O74" s="34"/>
      <c r="P74" s="34"/>
    </row>
    <row r="75" spans="2:16" x14ac:dyDescent="0.25">
      <c r="B75" s="39" t="s">
        <v>125</v>
      </c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1"/>
      <c r="O75" s="34"/>
      <c r="P75" s="34"/>
    </row>
    <row r="76" spans="2:16" x14ac:dyDescent="0.25">
      <c r="B76" s="39" t="s">
        <v>126</v>
      </c>
      <c r="C76" s="41">
        <f>C32</f>
        <v>25625</v>
      </c>
      <c r="D76" s="41">
        <f t="shared" ref="D76:N76" si="31">D32</f>
        <v>25625</v>
      </c>
      <c r="E76" s="41">
        <f t="shared" si="31"/>
        <v>25625</v>
      </c>
      <c r="F76" s="41">
        <f t="shared" si="31"/>
        <v>25625</v>
      </c>
      <c r="G76" s="41">
        <f t="shared" si="31"/>
        <v>25625</v>
      </c>
      <c r="H76" s="41">
        <f t="shared" si="31"/>
        <v>25625</v>
      </c>
      <c r="I76" s="41">
        <f t="shared" si="31"/>
        <v>25625</v>
      </c>
      <c r="J76" s="41">
        <f t="shared" si="31"/>
        <v>25625</v>
      </c>
      <c r="K76" s="41">
        <f t="shared" si="31"/>
        <v>25625</v>
      </c>
      <c r="L76" s="41">
        <f t="shared" si="31"/>
        <v>25625</v>
      </c>
      <c r="M76" s="41">
        <f t="shared" si="31"/>
        <v>25625</v>
      </c>
      <c r="N76" s="41">
        <f t="shared" si="31"/>
        <v>25625</v>
      </c>
      <c r="O76" s="34"/>
      <c r="P76" s="34"/>
    </row>
    <row r="77" spans="2:16" x14ac:dyDescent="0.25">
      <c r="B77" s="35" t="s">
        <v>21</v>
      </c>
      <c r="C77" s="35">
        <f>C34</f>
        <v>10250</v>
      </c>
      <c r="D77" s="35">
        <f t="shared" ref="D77:N77" si="32">D34</f>
        <v>10250</v>
      </c>
      <c r="E77" s="35">
        <f t="shared" si="32"/>
        <v>10250</v>
      </c>
      <c r="F77" s="35">
        <f t="shared" si="32"/>
        <v>10250</v>
      </c>
      <c r="G77" s="35">
        <f t="shared" si="32"/>
        <v>10250</v>
      </c>
      <c r="H77" s="35">
        <f t="shared" si="32"/>
        <v>10250</v>
      </c>
      <c r="I77" s="35">
        <f t="shared" si="32"/>
        <v>10250</v>
      </c>
      <c r="J77" s="35">
        <f t="shared" si="32"/>
        <v>10250</v>
      </c>
      <c r="K77" s="35">
        <f t="shared" si="32"/>
        <v>10250</v>
      </c>
      <c r="L77" s="35">
        <f t="shared" si="32"/>
        <v>10250</v>
      </c>
      <c r="M77" s="35">
        <f t="shared" si="32"/>
        <v>10250</v>
      </c>
      <c r="N77" s="35">
        <f t="shared" si="32"/>
        <v>10250</v>
      </c>
      <c r="O77" s="34"/>
      <c r="P77" s="34"/>
    </row>
    <row r="78" spans="2:16" x14ac:dyDescent="0.25">
      <c r="B78" s="34" t="s">
        <v>102</v>
      </c>
      <c r="C78" s="34">
        <f t="shared" ref="C78:N78" si="33">C41</f>
        <v>0</v>
      </c>
      <c r="D78" s="34">
        <f t="shared" si="33"/>
        <v>0</v>
      </c>
      <c r="E78" s="34">
        <f t="shared" si="33"/>
        <v>0</v>
      </c>
      <c r="F78" s="34">
        <f t="shared" si="33"/>
        <v>0</v>
      </c>
      <c r="G78" s="34">
        <f t="shared" si="33"/>
        <v>0</v>
      </c>
      <c r="H78" s="34">
        <f t="shared" si="33"/>
        <v>0</v>
      </c>
      <c r="I78" s="34">
        <f t="shared" si="33"/>
        <v>0</v>
      </c>
      <c r="J78" s="34">
        <f t="shared" si="33"/>
        <v>0</v>
      </c>
      <c r="K78" s="34">
        <f t="shared" si="33"/>
        <v>0</v>
      </c>
      <c r="L78" s="34">
        <f t="shared" si="33"/>
        <v>8200</v>
      </c>
      <c r="M78" s="34">
        <f t="shared" si="33"/>
        <v>0</v>
      </c>
      <c r="N78" s="34">
        <f t="shared" si="33"/>
        <v>0</v>
      </c>
      <c r="O78" s="34"/>
      <c r="P78" s="34"/>
    </row>
    <row r="79" spans="2:16" x14ac:dyDescent="0.25">
      <c r="B79" s="34" t="s">
        <v>127</v>
      </c>
      <c r="C79" s="34">
        <f>C26</f>
        <v>8520</v>
      </c>
      <c r="D79" s="34">
        <f t="shared" ref="D79:N79" si="34">D26</f>
        <v>8520</v>
      </c>
      <c r="E79" s="34">
        <f t="shared" si="34"/>
        <v>8520</v>
      </c>
      <c r="F79" s="34">
        <f t="shared" si="34"/>
        <v>8520</v>
      </c>
      <c r="G79" s="34">
        <f t="shared" si="34"/>
        <v>8520</v>
      </c>
      <c r="H79" s="34">
        <f t="shared" si="34"/>
        <v>8520</v>
      </c>
      <c r="I79" s="34">
        <f t="shared" si="34"/>
        <v>8520</v>
      </c>
      <c r="J79" s="34">
        <f t="shared" si="34"/>
        <v>8520</v>
      </c>
      <c r="K79" s="34">
        <f t="shared" si="34"/>
        <v>8520</v>
      </c>
      <c r="L79" s="34">
        <f t="shared" si="34"/>
        <v>8520</v>
      </c>
      <c r="M79" s="34">
        <f t="shared" si="34"/>
        <v>8520</v>
      </c>
      <c r="N79" s="34">
        <f t="shared" si="34"/>
        <v>8520</v>
      </c>
      <c r="O79" s="34"/>
      <c r="P79" s="34"/>
    </row>
    <row r="80" spans="2:16" x14ac:dyDescent="0.25">
      <c r="B80" s="59" t="s">
        <v>128</v>
      </c>
      <c r="C80" s="59">
        <f t="shared" ref="C80:N80" si="35">C44</f>
        <v>2762.5</v>
      </c>
      <c r="D80" s="59">
        <f t="shared" si="35"/>
        <v>2762.5</v>
      </c>
      <c r="E80" s="59">
        <f t="shared" si="35"/>
        <v>2762.5</v>
      </c>
      <c r="F80" s="59">
        <f t="shared" si="35"/>
        <v>2762.5</v>
      </c>
      <c r="G80" s="59">
        <f t="shared" si="35"/>
        <v>2762.5</v>
      </c>
      <c r="H80" s="59">
        <f t="shared" si="35"/>
        <v>2762.5</v>
      </c>
      <c r="I80" s="59">
        <f t="shared" si="35"/>
        <v>2762.5</v>
      </c>
      <c r="J80" s="59">
        <f t="shared" si="35"/>
        <v>2762.5</v>
      </c>
      <c r="K80" s="59">
        <f t="shared" si="35"/>
        <v>2762.5</v>
      </c>
      <c r="L80" s="59">
        <f t="shared" si="35"/>
        <v>2762.5</v>
      </c>
      <c r="M80" s="59">
        <f t="shared" si="35"/>
        <v>2762.5</v>
      </c>
      <c r="N80" s="59">
        <f t="shared" si="35"/>
        <v>2762.5</v>
      </c>
      <c r="O80" s="34"/>
      <c r="P80" s="34"/>
    </row>
    <row r="81" spans="2:16" x14ac:dyDescent="0.25">
      <c r="B81" s="38" t="s">
        <v>129</v>
      </c>
      <c r="C81" s="40">
        <f>C52</f>
        <v>0</v>
      </c>
      <c r="D81" s="40">
        <f t="shared" ref="D81:N81" si="36">D52</f>
        <v>0</v>
      </c>
      <c r="E81" s="40">
        <f t="shared" si="36"/>
        <v>0</v>
      </c>
      <c r="F81" s="40">
        <f t="shared" si="36"/>
        <v>0</v>
      </c>
      <c r="G81" s="40">
        <f t="shared" si="36"/>
        <v>0</v>
      </c>
      <c r="H81" s="40">
        <f>H53</f>
        <v>20400</v>
      </c>
      <c r="I81" s="40">
        <f t="shared" si="36"/>
        <v>0</v>
      </c>
      <c r="J81" s="40">
        <f t="shared" si="36"/>
        <v>0</v>
      </c>
      <c r="K81" s="40">
        <f t="shared" si="36"/>
        <v>0</v>
      </c>
      <c r="L81" s="40">
        <f t="shared" si="36"/>
        <v>0</v>
      </c>
      <c r="M81" s="40">
        <f t="shared" si="36"/>
        <v>0</v>
      </c>
      <c r="N81" s="40">
        <f t="shared" si="36"/>
        <v>0</v>
      </c>
      <c r="O81" s="34"/>
      <c r="P81" s="34"/>
    </row>
    <row r="82" spans="2:16" x14ac:dyDescent="0.25">
      <c r="B82" s="38" t="s">
        <v>130</v>
      </c>
      <c r="C82" s="40">
        <f t="shared" ref="C82:N82" si="37">C65</f>
        <v>-684.7199999999998</v>
      </c>
      <c r="D82" s="40">
        <f t="shared" si="37"/>
        <v>-684.2998399999999</v>
      </c>
      <c r="E82" s="40">
        <f t="shared" si="37"/>
        <v>-684.2998399999999</v>
      </c>
      <c r="F82" s="40">
        <f t="shared" si="37"/>
        <v>-684.2998399999999</v>
      </c>
      <c r="G82" s="40">
        <f t="shared" si="37"/>
        <v>-684.2998399999999</v>
      </c>
      <c r="H82" s="40">
        <f t="shared" si="37"/>
        <v>-684.2998399999999</v>
      </c>
      <c r="I82" s="40">
        <f t="shared" si="37"/>
        <v>-4084.2998399999997</v>
      </c>
      <c r="J82" s="40">
        <f t="shared" si="37"/>
        <v>-684.2998399999999</v>
      </c>
      <c r="K82" s="40">
        <f t="shared" si="37"/>
        <v>-684.2998399999999</v>
      </c>
      <c r="L82" s="40">
        <f t="shared" si="37"/>
        <v>-684.2998399999999</v>
      </c>
      <c r="M82" s="40">
        <f t="shared" si="37"/>
        <v>-684.2998399999999</v>
      </c>
      <c r="N82" s="40">
        <f t="shared" si="37"/>
        <v>-684.2998399999999</v>
      </c>
      <c r="O82" s="34"/>
      <c r="P82" s="34"/>
    </row>
    <row r="83" spans="2:16" x14ac:dyDescent="0.25">
      <c r="B83" s="59" t="s">
        <v>131</v>
      </c>
      <c r="C83" s="59">
        <f>SUM(C74:C82)</f>
        <v>48550.051039999998</v>
      </c>
      <c r="D83" s="59">
        <f t="shared" ref="D83:N83" si="38">SUM(D74:D82)</f>
        <v>48550.4712</v>
      </c>
      <c r="E83" s="59">
        <f t="shared" si="38"/>
        <v>48550.4712</v>
      </c>
      <c r="F83" s="59">
        <f t="shared" si="38"/>
        <v>48550.4712</v>
      </c>
      <c r="G83" s="59">
        <f t="shared" si="38"/>
        <v>48550.4712</v>
      </c>
      <c r="H83" s="59">
        <f t="shared" si="38"/>
        <v>68950.471199999985</v>
      </c>
      <c r="I83" s="59">
        <f t="shared" si="38"/>
        <v>45150.4712</v>
      </c>
      <c r="J83" s="59">
        <f t="shared" si="38"/>
        <v>48550.4712</v>
      </c>
      <c r="K83" s="59">
        <f t="shared" si="38"/>
        <v>48550.4712</v>
      </c>
      <c r="L83" s="59">
        <f t="shared" si="38"/>
        <v>56750.4712</v>
      </c>
      <c r="M83" s="59">
        <f t="shared" si="38"/>
        <v>48550.4712</v>
      </c>
      <c r="N83" s="59">
        <f t="shared" si="38"/>
        <v>48550.4712</v>
      </c>
      <c r="O83" s="34"/>
      <c r="P83" s="34"/>
    </row>
    <row r="84" spans="2:16" x14ac:dyDescent="0.25">
      <c r="B84" s="59" t="s">
        <v>132</v>
      </c>
      <c r="C84" s="59">
        <f>'Budget Prev 3 années SANS PRECO'!N85</f>
        <v>-506370.31999999989</v>
      </c>
      <c r="D84" s="59">
        <f>C86</f>
        <v>-548617.97103999986</v>
      </c>
      <c r="E84" s="59">
        <f t="shared" ref="E84:N84" si="39">D86</f>
        <v>-590676.97023999982</v>
      </c>
      <c r="F84" s="59">
        <f t="shared" si="39"/>
        <v>-632735.96943999978</v>
      </c>
      <c r="G84" s="59">
        <f t="shared" si="39"/>
        <v>-674794.96863999974</v>
      </c>
      <c r="H84" s="59">
        <f t="shared" si="39"/>
        <v>-716853.96783999971</v>
      </c>
      <c r="I84" s="59">
        <f t="shared" si="39"/>
        <v>-779312.96703999967</v>
      </c>
      <c r="J84" s="59">
        <f t="shared" si="39"/>
        <v>-817971.96623999963</v>
      </c>
      <c r="K84" s="59">
        <f t="shared" si="39"/>
        <v>-860030.96543999959</v>
      </c>
      <c r="L84" s="59">
        <f t="shared" si="39"/>
        <v>-902089.96463999955</v>
      </c>
      <c r="M84" s="59">
        <f t="shared" si="39"/>
        <v>-952348.96383999952</v>
      </c>
      <c r="N84" s="59">
        <f t="shared" si="39"/>
        <v>-994407.96303999948</v>
      </c>
      <c r="O84" s="34"/>
      <c r="P84" s="34"/>
    </row>
    <row r="85" spans="2:16" x14ac:dyDescent="0.25">
      <c r="B85" s="34" t="s">
        <v>133</v>
      </c>
      <c r="C85" s="34">
        <f t="shared" ref="C85:N85" si="40">C73-C83</f>
        <v>-42247.651039999997</v>
      </c>
      <c r="D85" s="34">
        <f t="shared" si="40"/>
        <v>-42058.999199999998</v>
      </c>
      <c r="E85" s="34">
        <f t="shared" si="40"/>
        <v>-42058.999199999998</v>
      </c>
      <c r="F85" s="34">
        <f t="shared" si="40"/>
        <v>-42058.999199999998</v>
      </c>
      <c r="G85" s="34">
        <f t="shared" si="40"/>
        <v>-42058.999199999998</v>
      </c>
      <c r="H85" s="34">
        <f t="shared" si="40"/>
        <v>-62458.999199999984</v>
      </c>
      <c r="I85" s="34">
        <f t="shared" si="40"/>
        <v>-38658.999199999998</v>
      </c>
      <c r="J85" s="34">
        <f t="shared" si="40"/>
        <v>-42058.999199999998</v>
      </c>
      <c r="K85" s="34">
        <f t="shared" si="40"/>
        <v>-42058.999199999998</v>
      </c>
      <c r="L85" s="34">
        <f t="shared" si="40"/>
        <v>-50258.999199999998</v>
      </c>
      <c r="M85" s="34">
        <f t="shared" si="40"/>
        <v>-42058.999199999998</v>
      </c>
      <c r="N85" s="34">
        <f t="shared" si="40"/>
        <v>-42058.999199999998</v>
      </c>
      <c r="O85" s="34"/>
      <c r="P85" s="34"/>
    </row>
    <row r="86" spans="2:16" x14ac:dyDescent="0.25">
      <c r="B86" s="59" t="s">
        <v>134</v>
      </c>
      <c r="C86" s="59">
        <f>C84+C85</f>
        <v>-548617.97103999986</v>
      </c>
      <c r="D86" s="59">
        <f t="shared" ref="D86:N86" si="41">D84+D85</f>
        <v>-590676.97023999982</v>
      </c>
      <c r="E86" s="59">
        <f t="shared" si="41"/>
        <v>-632735.96943999978</v>
      </c>
      <c r="F86" s="59">
        <f t="shared" si="41"/>
        <v>-674794.96863999974</v>
      </c>
      <c r="G86" s="59">
        <f t="shared" si="41"/>
        <v>-716853.96783999971</v>
      </c>
      <c r="H86" s="59">
        <f t="shared" si="41"/>
        <v>-779312.96703999967</v>
      </c>
      <c r="I86" s="59">
        <f t="shared" si="41"/>
        <v>-817971.96623999963</v>
      </c>
      <c r="J86" s="59">
        <f t="shared" si="41"/>
        <v>-860030.96543999959</v>
      </c>
      <c r="K86" s="59">
        <f t="shared" si="41"/>
        <v>-902089.96463999955</v>
      </c>
      <c r="L86" s="59">
        <f t="shared" si="41"/>
        <v>-952348.96383999952</v>
      </c>
      <c r="M86" s="59">
        <f t="shared" si="41"/>
        <v>-994407.96303999948</v>
      </c>
      <c r="N86" s="59">
        <f t="shared" si="41"/>
        <v>-1036466.9622399994</v>
      </c>
      <c r="O86" s="60" t="s">
        <v>164</v>
      </c>
      <c r="P86" s="61">
        <f>N86</f>
        <v>-1036466.9622399994</v>
      </c>
    </row>
  </sheetData>
  <mergeCells count="102">
    <mergeCell ref="O57:P57"/>
    <mergeCell ref="O69:P69"/>
    <mergeCell ref="O38:P38"/>
    <mergeCell ref="B48:B49"/>
    <mergeCell ref="C48:C49"/>
    <mergeCell ref="D48:D49"/>
    <mergeCell ref="E48:E49"/>
    <mergeCell ref="F48:F49"/>
    <mergeCell ref="G48:G49"/>
    <mergeCell ref="H48:H49"/>
    <mergeCell ref="I48:I49"/>
    <mergeCell ref="J48:J49"/>
    <mergeCell ref="K48:K49"/>
    <mergeCell ref="L48:L49"/>
    <mergeCell ref="M48:M49"/>
    <mergeCell ref="N48:N49"/>
    <mergeCell ref="O48:P48"/>
    <mergeCell ref="C57:C58"/>
    <mergeCell ref="D57:D58"/>
    <mergeCell ref="E57:E58"/>
    <mergeCell ref="F57:F58"/>
    <mergeCell ref="G57:G58"/>
    <mergeCell ref="N69:N70"/>
    <mergeCell ref="N57:N58"/>
    <mergeCell ref="O3:P3"/>
    <mergeCell ref="B11:P11"/>
    <mergeCell ref="B2:P2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12:P12"/>
    <mergeCell ref="B20:P20"/>
    <mergeCell ref="B21:B22"/>
    <mergeCell ref="C21:C22"/>
    <mergeCell ref="D21:D22"/>
    <mergeCell ref="E21:E22"/>
    <mergeCell ref="F21:F22"/>
    <mergeCell ref="G21:G22"/>
    <mergeCell ref="H21:H22"/>
    <mergeCell ref="B12:B13"/>
    <mergeCell ref="C12:C13"/>
    <mergeCell ref="D12:D13"/>
    <mergeCell ref="E12:E13"/>
    <mergeCell ref="F12:F13"/>
    <mergeCell ref="G12:G13"/>
    <mergeCell ref="J21:J22"/>
    <mergeCell ref="K21:K22"/>
    <mergeCell ref="L21:L22"/>
    <mergeCell ref="H12:H13"/>
    <mergeCell ref="I12:I13"/>
    <mergeCell ref="J12:J13"/>
    <mergeCell ref="N21:N22"/>
    <mergeCell ref="I21:I22"/>
    <mergeCell ref="N12:N13"/>
    <mergeCell ref="K12:K13"/>
    <mergeCell ref="L12:L13"/>
    <mergeCell ref="M12:M13"/>
    <mergeCell ref="O21:P21"/>
    <mergeCell ref="J57:J58"/>
    <mergeCell ref="K57:K58"/>
    <mergeCell ref="L57:L58"/>
    <mergeCell ref="M57:M58"/>
    <mergeCell ref="J38:J39"/>
    <mergeCell ref="K38:K39"/>
    <mergeCell ref="L38:L39"/>
    <mergeCell ref="M38:M39"/>
    <mergeCell ref="N38:N39"/>
    <mergeCell ref="B37:P37"/>
    <mergeCell ref="B38:B39"/>
    <mergeCell ref="C38:C39"/>
    <mergeCell ref="D38:D39"/>
    <mergeCell ref="E38:E39"/>
    <mergeCell ref="F38:F39"/>
    <mergeCell ref="G38:G39"/>
    <mergeCell ref="H38:H39"/>
    <mergeCell ref="I38:I39"/>
    <mergeCell ref="M21:M22"/>
    <mergeCell ref="B57:B58"/>
    <mergeCell ref="H57:H58"/>
    <mergeCell ref="I57:I58"/>
    <mergeCell ref="I69:I70"/>
    <mergeCell ref="J69:J70"/>
    <mergeCell ref="K69:K70"/>
    <mergeCell ref="L69:L70"/>
    <mergeCell ref="M69:M70"/>
    <mergeCell ref="B69:B70"/>
    <mergeCell ref="C69:C70"/>
    <mergeCell ref="D69:D70"/>
    <mergeCell ref="E69:E70"/>
    <mergeCell ref="F69:F70"/>
    <mergeCell ref="G69:G70"/>
    <mergeCell ref="H69:H70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503EDF-CFB5-4F27-9B76-E5F21E25B963}">
  <sheetPr codeName="Feuil6"/>
  <dimension ref="B3:K24"/>
  <sheetViews>
    <sheetView zoomScale="66" workbookViewId="0">
      <selection activeCell="G14" sqref="G14"/>
    </sheetView>
  </sheetViews>
  <sheetFormatPr baseColWidth="10" defaultColWidth="11.42578125" defaultRowHeight="15" x14ac:dyDescent="0.25"/>
  <cols>
    <col min="2" max="2" width="31.7109375" customWidth="1"/>
    <col min="3" max="3" width="10.5703125" bestFit="1" customWidth="1"/>
    <col min="4" max="4" width="11.42578125" bestFit="1" customWidth="1"/>
    <col min="5" max="5" width="14.42578125" customWidth="1"/>
    <col min="6" max="6" width="35.7109375" customWidth="1"/>
    <col min="7" max="7" width="14.28515625" customWidth="1"/>
    <col min="8" max="8" width="15.140625" customWidth="1"/>
    <col min="9" max="9" width="12" bestFit="1" customWidth="1"/>
    <col min="10" max="10" width="39.5703125" customWidth="1"/>
    <col min="11" max="11" width="39.85546875" customWidth="1"/>
    <col min="12" max="12" width="41.42578125" customWidth="1"/>
    <col min="13" max="13" width="15" customWidth="1"/>
  </cols>
  <sheetData>
    <row r="3" spans="2:11" ht="15" customHeight="1" x14ac:dyDescent="0.25">
      <c r="B3" s="269" t="s">
        <v>0</v>
      </c>
      <c r="C3" s="270"/>
      <c r="F3" s="269" t="s">
        <v>143</v>
      </c>
      <c r="G3" s="270"/>
      <c r="H3" s="269"/>
      <c r="I3" s="270"/>
      <c r="J3" s="269"/>
      <c r="K3" s="270"/>
    </row>
    <row r="4" spans="2:11" x14ac:dyDescent="0.25">
      <c r="B4" s="8" t="s">
        <v>1</v>
      </c>
      <c r="C4" s="9">
        <f>'N+2 '!P5</f>
        <v>64914.719999999994</v>
      </c>
      <c r="F4" s="33" t="s">
        <v>2</v>
      </c>
      <c r="G4" s="52" t="s">
        <v>3</v>
      </c>
      <c r="H4" s="52" t="s">
        <v>4</v>
      </c>
      <c r="I4" s="52" t="s">
        <v>5</v>
      </c>
      <c r="J4" s="53" t="s">
        <v>6</v>
      </c>
      <c r="K4" s="54" t="s">
        <v>5</v>
      </c>
    </row>
    <row r="5" spans="2:11" x14ac:dyDescent="0.25">
      <c r="B5" s="8" t="s">
        <v>67</v>
      </c>
      <c r="C5" s="9">
        <v>0</v>
      </c>
      <c r="F5" s="1" t="s">
        <v>8</v>
      </c>
      <c r="G5" s="5">
        <f>SUM(G6:G9)</f>
        <v>253500</v>
      </c>
      <c r="H5" s="5">
        <f>SUM(H6:H7)</f>
        <v>61520.238095238106</v>
      </c>
      <c r="I5" s="5">
        <f>SUM(I6:I7)</f>
        <v>191979.76190476189</v>
      </c>
      <c r="J5" s="1" t="s">
        <v>9</v>
      </c>
      <c r="K5" s="11">
        <f>SUM(K6:K9)</f>
        <v>-911583.42849523807</v>
      </c>
    </row>
    <row r="6" spans="2:11" ht="30" x14ac:dyDescent="0.25">
      <c r="B6" s="33" t="s">
        <v>10</v>
      </c>
      <c r="C6" s="49">
        <f>C4+C5</f>
        <v>64914.719999999994</v>
      </c>
      <c r="F6" s="2" t="s">
        <v>11</v>
      </c>
      <c r="G6" s="6">
        <f>'N+2 '!H50+159000</f>
        <v>176000</v>
      </c>
      <c r="H6" s="6">
        <f>'Bilan et CDR N+1'!H7+J24+'N+2 '!N29</f>
        <v>20636.526479750781</v>
      </c>
      <c r="I6" s="6">
        <f>G6-H6</f>
        <v>155363.47352024922</v>
      </c>
      <c r="J6" s="2" t="s">
        <v>12</v>
      </c>
      <c r="K6" s="64">
        <v>50000</v>
      </c>
    </row>
    <row r="7" spans="2:11" x14ac:dyDescent="0.25">
      <c r="B7" s="8" t="s">
        <v>70</v>
      </c>
      <c r="C7" s="9">
        <f>'N+2 '!P14</f>
        <v>20772.7104</v>
      </c>
      <c r="F7" s="2" t="s">
        <v>14</v>
      </c>
      <c r="G7" s="2">
        <f>'Bilan et CDR N+1'!G8</f>
        <v>77500</v>
      </c>
      <c r="H7" s="6">
        <f>'Bilan et CDR N+1'!H8+I23+Emprunt!K5</f>
        <v>40883.711615487322</v>
      </c>
      <c r="I7" s="6">
        <f>G7-H7</f>
        <v>36616.288384512678</v>
      </c>
      <c r="J7" s="2" t="s">
        <v>15</v>
      </c>
      <c r="K7" s="64">
        <v>5000</v>
      </c>
    </row>
    <row r="8" spans="2:11" x14ac:dyDescent="0.25">
      <c r="B8" s="8" t="s">
        <v>73</v>
      </c>
      <c r="C8" s="9">
        <f>'N+2 '!P23</f>
        <v>85200</v>
      </c>
      <c r="F8" s="1"/>
      <c r="G8" s="5"/>
      <c r="H8" s="5"/>
      <c r="I8" s="5"/>
      <c r="J8" s="2" t="s">
        <v>17</v>
      </c>
      <c r="K8" s="64">
        <f>'Bilan et CDR N+1'!K9+'Bilan et CDR N+1'!K10</f>
        <v>-471969.48571428563</v>
      </c>
    </row>
    <row r="9" spans="2:11" ht="30" x14ac:dyDescent="0.25">
      <c r="B9" s="8" t="s">
        <v>18</v>
      </c>
      <c r="C9" s="9">
        <f>'Budget Prev 3 années SANS PRECO'!P39</f>
        <v>8200</v>
      </c>
      <c r="F9" s="2"/>
      <c r="G9" s="6"/>
      <c r="H9" s="6"/>
      <c r="I9" s="6"/>
      <c r="J9" s="2" t="s">
        <v>19</v>
      </c>
      <c r="K9" s="64">
        <f>C21</f>
        <v>-494613.94278095243</v>
      </c>
    </row>
    <row r="10" spans="2:11" x14ac:dyDescent="0.25">
      <c r="B10" s="8" t="s">
        <v>20</v>
      </c>
      <c r="C10" s="9">
        <f>'N+2 '!P32</f>
        <v>307500</v>
      </c>
      <c r="F10" s="12"/>
      <c r="G10" s="13"/>
      <c r="H10" s="62"/>
      <c r="I10" s="63"/>
      <c r="J10" s="4"/>
      <c r="K10" s="65"/>
    </row>
    <row r="11" spans="2:11" x14ac:dyDescent="0.25">
      <c r="B11" s="8" t="s">
        <v>21</v>
      </c>
      <c r="C11" s="9">
        <f>'N+2 '!P33</f>
        <v>123000</v>
      </c>
      <c r="F11" s="1" t="s">
        <v>22</v>
      </c>
      <c r="G11" s="5">
        <f>SUM(G12:G14)</f>
        <v>-1014975.4902399995</v>
      </c>
      <c r="H11" s="5">
        <f>SUM(H12:H14)</f>
        <v>0</v>
      </c>
      <c r="I11" s="5">
        <f>SUM(I12:I14)</f>
        <v>-1014975.4902399995</v>
      </c>
      <c r="J11" s="1" t="s">
        <v>23</v>
      </c>
      <c r="K11" s="65">
        <f>SUM(K12:K15)</f>
        <v>69565.700160000008</v>
      </c>
    </row>
    <row r="12" spans="2:11" ht="30" x14ac:dyDescent="0.25">
      <c r="B12" s="8" t="s">
        <v>75</v>
      </c>
      <c r="C12" s="9">
        <f>'N+2 '!N30</f>
        <v>11705.95238095238</v>
      </c>
      <c r="F12" s="2" t="s">
        <v>25</v>
      </c>
      <c r="G12" s="2">
        <v>15000</v>
      </c>
      <c r="H12" s="6"/>
      <c r="I12" s="6">
        <f>G12-H12</f>
        <v>15000</v>
      </c>
      <c r="J12" s="2" t="s">
        <v>26</v>
      </c>
      <c r="K12" s="64">
        <f>Emprunt!C11</f>
        <v>60000</v>
      </c>
    </row>
    <row r="13" spans="2:11" x14ac:dyDescent="0.25">
      <c r="B13" s="33" t="s">
        <v>76</v>
      </c>
      <c r="C13" s="49">
        <f>SUM(C7:C12)</f>
        <v>556378.66278095241</v>
      </c>
      <c r="F13" s="2" t="s">
        <v>28</v>
      </c>
      <c r="G13" s="6">
        <f>'N+2 '!P8</f>
        <v>6491.4720000000007</v>
      </c>
      <c r="H13" s="6"/>
      <c r="I13" s="6">
        <f t="shared" ref="I13:I14" si="0">G13-H13</f>
        <v>6491.4720000000007</v>
      </c>
      <c r="J13" s="2" t="s">
        <v>29</v>
      </c>
      <c r="K13" s="64">
        <f>0</f>
        <v>0</v>
      </c>
    </row>
    <row r="14" spans="2:11" x14ac:dyDescent="0.25">
      <c r="B14" s="10" t="s">
        <v>30</v>
      </c>
      <c r="C14" s="16">
        <f>C6-C13</f>
        <v>-491463.94278095243</v>
      </c>
      <c r="F14" s="2" t="s">
        <v>34</v>
      </c>
      <c r="G14" s="6">
        <f>'N+2 '!N86</f>
        <v>-1036466.9622399994</v>
      </c>
      <c r="H14" s="6"/>
      <c r="I14" s="6">
        <f t="shared" si="0"/>
        <v>-1036466.9622399994</v>
      </c>
      <c r="J14" s="2" t="s">
        <v>146</v>
      </c>
      <c r="K14" s="64">
        <f>'N+2 '!P34+'N+2 '!P65</f>
        <v>9565.7001600000003</v>
      </c>
    </row>
    <row r="15" spans="2:11" x14ac:dyDescent="0.25">
      <c r="B15" s="33" t="s">
        <v>33</v>
      </c>
      <c r="C15" s="49">
        <v>0</v>
      </c>
      <c r="F15" s="2"/>
      <c r="G15" s="2"/>
      <c r="H15" s="2"/>
      <c r="I15" s="2"/>
      <c r="J15" s="2"/>
      <c r="K15" s="64"/>
    </row>
    <row r="16" spans="2:11" x14ac:dyDescent="0.25">
      <c r="B16" s="8" t="s">
        <v>36</v>
      </c>
      <c r="C16" s="9">
        <f>'N+2 '!P42</f>
        <v>3150.0000000000005</v>
      </c>
      <c r="F16" s="55" t="s">
        <v>38</v>
      </c>
      <c r="G16" s="56">
        <f>G5+G11</f>
        <v>-761475.49023999949</v>
      </c>
      <c r="H16" s="56">
        <f>H5</f>
        <v>61520.238095238106</v>
      </c>
      <c r="I16" s="56">
        <f>G16-H16</f>
        <v>-822995.7283352376</v>
      </c>
      <c r="J16" s="55" t="s">
        <v>39</v>
      </c>
      <c r="K16" s="57">
        <f>K5+K11</f>
        <v>-842017.72833523806</v>
      </c>
    </row>
    <row r="17" spans="2:11" x14ac:dyDescent="0.25">
      <c r="B17" s="33" t="s">
        <v>37</v>
      </c>
      <c r="C17" s="49">
        <f>C16</f>
        <v>3150.0000000000005</v>
      </c>
      <c r="J17" s="7" t="s">
        <v>42</v>
      </c>
      <c r="K17" s="14">
        <f>I16-K16</f>
        <v>19022.000000000466</v>
      </c>
    </row>
    <row r="18" spans="2:11" x14ac:dyDescent="0.25">
      <c r="B18" s="10" t="s">
        <v>40</v>
      </c>
      <c r="C18" s="16">
        <f>C15-C17</f>
        <v>-3150.0000000000005</v>
      </c>
    </row>
    <row r="19" spans="2:11" x14ac:dyDescent="0.25">
      <c r="B19" s="10" t="s">
        <v>43</v>
      </c>
      <c r="C19" s="16">
        <f>C14-(-C18)</f>
        <v>-494613.94278095243</v>
      </c>
    </row>
    <row r="20" spans="2:11" x14ac:dyDescent="0.25">
      <c r="B20" s="10" t="s">
        <v>45</v>
      </c>
      <c r="C20" s="9"/>
      <c r="I20" t="s">
        <v>141</v>
      </c>
    </row>
    <row r="21" spans="2:11" x14ac:dyDescent="0.25">
      <c r="B21" s="50" t="s">
        <v>47</v>
      </c>
      <c r="C21" s="51">
        <f>C19</f>
        <v>-494613.94278095243</v>
      </c>
      <c r="G21" s="15"/>
      <c r="I21">
        <v>55</v>
      </c>
    </row>
    <row r="22" spans="2:11" x14ac:dyDescent="0.25">
      <c r="G22" s="15"/>
      <c r="J22">
        <v>159</v>
      </c>
    </row>
    <row r="23" spans="2:11" x14ac:dyDescent="0.25">
      <c r="I23" s="19">
        <f>I21/J23*7500</f>
        <v>1927.5700934579438</v>
      </c>
      <c r="J23">
        <v>214</v>
      </c>
    </row>
    <row r="24" spans="2:11" x14ac:dyDescent="0.25">
      <c r="J24" s="19">
        <f>J22/J23*7500</f>
        <v>5572.4299065420564</v>
      </c>
    </row>
  </sheetData>
  <mergeCells count="4">
    <mergeCell ref="B3:C3"/>
    <mergeCell ref="F3:G3"/>
    <mergeCell ref="H3:I3"/>
    <mergeCell ref="J3:K3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28E3FB-C028-411B-9AFC-1606F30551AF}">
  <sheetPr codeName="Feuil7"/>
  <dimension ref="B2:Q87"/>
  <sheetViews>
    <sheetView topLeftCell="A44" zoomScale="55" workbookViewId="0">
      <selection activeCell="O96" sqref="O96"/>
    </sheetView>
  </sheetViews>
  <sheetFormatPr baseColWidth="10" defaultColWidth="10.7109375" defaultRowHeight="15" x14ac:dyDescent="0.25"/>
  <cols>
    <col min="1" max="1" width="10.7109375" style="20"/>
    <col min="2" max="2" width="32.85546875" style="20" customWidth="1"/>
    <col min="3" max="3" width="12.140625" style="20" bestFit="1" customWidth="1"/>
    <col min="4" max="14" width="11.140625" style="20" bestFit="1" customWidth="1"/>
    <col min="15" max="15" width="28" style="20" bestFit="1" customWidth="1"/>
    <col min="16" max="16" width="12.140625" style="20" bestFit="1" customWidth="1"/>
    <col min="17" max="16384" width="10.7109375" style="20"/>
  </cols>
  <sheetData>
    <row r="2" spans="2:16" x14ac:dyDescent="0.25">
      <c r="B2" s="268" t="s">
        <v>49</v>
      </c>
      <c r="C2" s="268"/>
      <c r="D2" s="268"/>
      <c r="E2" s="268"/>
      <c r="F2" s="268"/>
      <c r="G2" s="268"/>
      <c r="H2" s="268"/>
      <c r="I2" s="268"/>
      <c r="J2" s="268"/>
      <c r="K2" s="268"/>
      <c r="L2" s="268"/>
      <c r="M2" s="268"/>
      <c r="N2" s="268"/>
      <c r="O2" s="268"/>
      <c r="P2" s="268"/>
    </row>
    <row r="3" spans="2:16" x14ac:dyDescent="0.25">
      <c r="B3" s="213"/>
      <c r="C3" s="215" t="s">
        <v>50</v>
      </c>
      <c r="D3" s="215" t="s">
        <v>51</v>
      </c>
      <c r="E3" s="215" t="s">
        <v>52</v>
      </c>
      <c r="F3" s="215" t="s">
        <v>53</v>
      </c>
      <c r="G3" s="215" t="s">
        <v>54</v>
      </c>
      <c r="H3" s="215" t="s">
        <v>55</v>
      </c>
      <c r="I3" s="215" t="s">
        <v>56</v>
      </c>
      <c r="J3" s="215" t="s">
        <v>57</v>
      </c>
      <c r="K3" s="215" t="s">
        <v>58</v>
      </c>
      <c r="L3" s="215" t="s">
        <v>59</v>
      </c>
      <c r="M3" s="215" t="s">
        <v>60</v>
      </c>
      <c r="N3" s="215" t="s">
        <v>61</v>
      </c>
      <c r="O3" s="220" t="s">
        <v>62</v>
      </c>
      <c r="P3" s="221"/>
    </row>
    <row r="4" spans="2:16" x14ac:dyDescent="0.25">
      <c r="B4" s="214"/>
      <c r="C4" s="216"/>
      <c r="D4" s="216"/>
      <c r="E4" s="216"/>
      <c r="F4" s="216"/>
      <c r="G4" s="216"/>
      <c r="H4" s="216"/>
      <c r="I4" s="216"/>
      <c r="J4" s="216"/>
      <c r="K4" s="216"/>
      <c r="L4" s="216"/>
      <c r="M4" s="216"/>
      <c r="N4" s="216"/>
      <c r="O4" s="58" t="s">
        <v>64</v>
      </c>
      <c r="P4" s="58" t="s">
        <v>65</v>
      </c>
    </row>
    <row r="5" spans="2:16" x14ac:dyDescent="0.25">
      <c r="B5" s="35" t="s">
        <v>66</v>
      </c>
      <c r="C5" s="35">
        <f>'Bilan et CDR N+2'!$C$4*1.04/12</f>
        <v>5625.9423999999999</v>
      </c>
      <c r="D5" s="35">
        <f>'Bilan et CDR N+2'!$C$4*1.04/12</f>
        <v>5625.9423999999999</v>
      </c>
      <c r="E5" s="35">
        <f>'Bilan et CDR N+2'!$C$4*1.04/12</f>
        <v>5625.9423999999999</v>
      </c>
      <c r="F5" s="35">
        <f>'Bilan et CDR N+2'!$C$4*1.04/12</f>
        <v>5625.9423999999999</v>
      </c>
      <c r="G5" s="35">
        <f>'Bilan et CDR N+2'!$C$4*1.04/12</f>
        <v>5625.9423999999999</v>
      </c>
      <c r="H5" s="35">
        <f>'Bilan et CDR N+2'!$C$4*1.04/12</f>
        <v>5625.9423999999999</v>
      </c>
      <c r="I5" s="35">
        <f>'Bilan et CDR N+2'!$C$4*1.04/12</f>
        <v>5625.9423999999999</v>
      </c>
      <c r="J5" s="35">
        <f>'Bilan et CDR N+2'!$C$4*1.04/12</f>
        <v>5625.9423999999999</v>
      </c>
      <c r="K5" s="35">
        <f>'Bilan et CDR N+2'!$C$4*1.04/12</f>
        <v>5625.9423999999999</v>
      </c>
      <c r="L5" s="35">
        <f>'Bilan et CDR N+2'!$C$4*1.04/12</f>
        <v>5625.9423999999999</v>
      </c>
      <c r="M5" s="35">
        <f>'Bilan et CDR N+2'!$C$4*1.04/12</f>
        <v>5625.9423999999999</v>
      </c>
      <c r="N5" s="35">
        <f>'Bilan et CDR N+2'!$C$4*1.04/12</f>
        <v>5625.9423999999999</v>
      </c>
      <c r="O5" s="60" t="s">
        <v>1</v>
      </c>
      <c r="P5" s="61">
        <f>SUM(C5:N5)</f>
        <v>67511.308799999999</v>
      </c>
    </row>
    <row r="6" spans="2:16" x14ac:dyDescent="0.25">
      <c r="B6" s="34" t="s">
        <v>68</v>
      </c>
      <c r="C6" s="34">
        <f>C5*20%</f>
        <v>1125.18848</v>
      </c>
      <c r="D6" s="34">
        <f t="shared" ref="D6:N6" si="0">D5*20%</f>
        <v>1125.18848</v>
      </c>
      <c r="E6" s="34">
        <f t="shared" si="0"/>
        <v>1125.18848</v>
      </c>
      <c r="F6" s="34">
        <f t="shared" si="0"/>
        <v>1125.18848</v>
      </c>
      <c r="G6" s="34">
        <f t="shared" si="0"/>
        <v>1125.18848</v>
      </c>
      <c r="H6" s="34">
        <f t="shared" si="0"/>
        <v>1125.18848</v>
      </c>
      <c r="I6" s="34">
        <f t="shared" si="0"/>
        <v>1125.18848</v>
      </c>
      <c r="J6" s="34">
        <f t="shared" si="0"/>
        <v>1125.18848</v>
      </c>
      <c r="K6" s="34">
        <f t="shared" si="0"/>
        <v>1125.18848</v>
      </c>
      <c r="L6" s="34">
        <f t="shared" si="0"/>
        <v>1125.18848</v>
      </c>
      <c r="M6" s="34">
        <f t="shared" si="0"/>
        <v>1125.18848</v>
      </c>
      <c r="N6" s="34">
        <f t="shared" si="0"/>
        <v>1125.18848</v>
      </c>
      <c r="O6" s="34"/>
      <c r="P6" s="34"/>
    </row>
    <row r="7" spans="2:16" x14ac:dyDescent="0.25">
      <c r="B7" s="34" t="s">
        <v>69</v>
      </c>
      <c r="C7" s="34">
        <f>C5+C6</f>
        <v>6751.1308799999997</v>
      </c>
      <c r="D7" s="34">
        <f t="shared" ref="D7:N7" si="1">D5+D6</f>
        <v>6751.1308799999997</v>
      </c>
      <c r="E7" s="34">
        <f t="shared" si="1"/>
        <v>6751.1308799999997</v>
      </c>
      <c r="F7" s="34">
        <f t="shared" si="1"/>
        <v>6751.1308799999997</v>
      </c>
      <c r="G7" s="34">
        <f t="shared" si="1"/>
        <v>6751.1308799999997</v>
      </c>
      <c r="H7" s="34">
        <f t="shared" si="1"/>
        <v>6751.1308799999997</v>
      </c>
      <c r="I7" s="34">
        <f t="shared" si="1"/>
        <v>6751.1308799999997</v>
      </c>
      <c r="J7" s="34">
        <f t="shared" si="1"/>
        <v>6751.1308799999997</v>
      </c>
      <c r="K7" s="34">
        <f t="shared" si="1"/>
        <v>6751.1308799999997</v>
      </c>
      <c r="L7" s="34">
        <f t="shared" si="1"/>
        <v>6751.1308799999997</v>
      </c>
      <c r="M7" s="34">
        <f t="shared" si="1"/>
        <v>6751.1308799999997</v>
      </c>
      <c r="N7" s="34">
        <f t="shared" si="1"/>
        <v>6751.1308799999997</v>
      </c>
      <c r="O7" s="34"/>
      <c r="P7" s="34"/>
    </row>
    <row r="8" spans="2:16" x14ac:dyDescent="0.25">
      <c r="B8" s="59" t="s">
        <v>139</v>
      </c>
      <c r="C8" s="59">
        <f>'Bilan et CDR N+2'!I13</f>
        <v>6491.4720000000007</v>
      </c>
      <c r="D8" s="59">
        <f>C7</f>
        <v>6751.1308799999997</v>
      </c>
      <c r="E8" s="59">
        <f>D7</f>
        <v>6751.1308799999997</v>
      </c>
      <c r="F8" s="59">
        <f>E7</f>
        <v>6751.1308799999997</v>
      </c>
      <c r="G8" s="59">
        <f>F7</f>
        <v>6751.1308799999997</v>
      </c>
      <c r="H8" s="59">
        <f>G7</f>
        <v>6751.1308799999997</v>
      </c>
      <c r="I8" s="59">
        <f t="shared" ref="I8:N8" si="2">H7</f>
        <v>6751.1308799999997</v>
      </c>
      <c r="J8" s="59">
        <f t="shared" si="2"/>
        <v>6751.1308799999997</v>
      </c>
      <c r="K8" s="59">
        <f t="shared" si="2"/>
        <v>6751.1308799999997</v>
      </c>
      <c r="L8" s="59">
        <f t="shared" si="2"/>
        <v>6751.1308799999997</v>
      </c>
      <c r="M8" s="59">
        <f t="shared" si="2"/>
        <v>6751.1308799999997</v>
      </c>
      <c r="N8" s="59">
        <f t="shared" si="2"/>
        <v>6751.1308799999997</v>
      </c>
      <c r="O8" s="60" t="s">
        <v>72</v>
      </c>
      <c r="P8" s="61">
        <f>N7</f>
        <v>6751.1308799999997</v>
      </c>
    </row>
    <row r="11" spans="2:16" x14ac:dyDescent="0.25">
      <c r="B11" s="271" t="s">
        <v>74</v>
      </c>
      <c r="C11" s="271"/>
      <c r="D11" s="271"/>
      <c r="E11" s="271"/>
      <c r="F11" s="271"/>
      <c r="G11" s="271"/>
      <c r="H11" s="271"/>
      <c r="I11" s="271"/>
      <c r="J11" s="271"/>
      <c r="K11" s="271"/>
      <c r="L11" s="271"/>
      <c r="M11" s="271"/>
      <c r="N11" s="271"/>
      <c r="O11" s="271"/>
      <c r="P11" s="271"/>
    </row>
    <row r="12" spans="2:16" x14ac:dyDescent="0.25">
      <c r="B12" s="213"/>
      <c r="C12" s="215" t="s">
        <v>50</v>
      </c>
      <c r="D12" s="215" t="s">
        <v>51</v>
      </c>
      <c r="E12" s="215" t="s">
        <v>52</v>
      </c>
      <c r="F12" s="215" t="s">
        <v>53</v>
      </c>
      <c r="G12" s="215" t="s">
        <v>54</v>
      </c>
      <c r="H12" s="215" t="s">
        <v>55</v>
      </c>
      <c r="I12" s="215" t="s">
        <v>56</v>
      </c>
      <c r="J12" s="215" t="s">
        <v>57</v>
      </c>
      <c r="K12" s="215" t="s">
        <v>58</v>
      </c>
      <c r="L12" s="215" t="s">
        <v>59</v>
      </c>
      <c r="M12" s="215" t="s">
        <v>60</v>
      </c>
      <c r="N12" s="215" t="s">
        <v>61</v>
      </c>
      <c r="O12" s="220" t="s">
        <v>62</v>
      </c>
      <c r="P12" s="221"/>
    </row>
    <row r="13" spans="2:16" x14ac:dyDescent="0.25">
      <c r="B13" s="214"/>
      <c r="C13" s="216"/>
      <c r="D13" s="216"/>
      <c r="E13" s="216"/>
      <c r="F13" s="216"/>
      <c r="G13" s="216"/>
      <c r="H13" s="216"/>
      <c r="I13" s="216"/>
      <c r="J13" s="216"/>
      <c r="K13" s="216"/>
      <c r="L13" s="216"/>
      <c r="M13" s="216"/>
      <c r="N13" s="216"/>
      <c r="O13" s="58" t="s">
        <v>64</v>
      </c>
      <c r="P13" s="58" t="s">
        <v>65</v>
      </c>
    </row>
    <row r="14" spans="2:16" x14ac:dyDescent="0.25">
      <c r="B14" s="35" t="s">
        <v>77</v>
      </c>
      <c r="C14" s="35">
        <f>C5*34%</f>
        <v>1912.820416</v>
      </c>
      <c r="D14" s="35">
        <f t="shared" ref="D14:N14" si="3">D5*34%</f>
        <v>1912.820416</v>
      </c>
      <c r="E14" s="35">
        <f t="shared" si="3"/>
        <v>1912.820416</v>
      </c>
      <c r="F14" s="35">
        <f t="shared" si="3"/>
        <v>1912.820416</v>
      </c>
      <c r="G14" s="35">
        <f t="shared" si="3"/>
        <v>1912.820416</v>
      </c>
      <c r="H14" s="35">
        <f t="shared" si="3"/>
        <v>1912.820416</v>
      </c>
      <c r="I14" s="35">
        <f t="shared" si="3"/>
        <v>1912.820416</v>
      </c>
      <c r="J14" s="35">
        <f t="shared" si="3"/>
        <v>1912.820416</v>
      </c>
      <c r="K14" s="35">
        <f t="shared" si="3"/>
        <v>1912.820416</v>
      </c>
      <c r="L14" s="35">
        <f t="shared" si="3"/>
        <v>1912.820416</v>
      </c>
      <c r="M14" s="35">
        <f t="shared" si="3"/>
        <v>1912.820416</v>
      </c>
      <c r="N14" s="35">
        <f t="shared" si="3"/>
        <v>1912.820416</v>
      </c>
      <c r="O14" s="60" t="s">
        <v>78</v>
      </c>
      <c r="P14" s="61">
        <f>SUM(C14:N14)</f>
        <v>22953.844991999998</v>
      </c>
    </row>
    <row r="15" spans="2:16" x14ac:dyDescent="0.25">
      <c r="B15" s="34" t="s">
        <v>79</v>
      </c>
      <c r="C15" s="34">
        <f>C14*20%</f>
        <v>382.56408320000003</v>
      </c>
      <c r="D15" s="34">
        <f t="shared" ref="D15:N15" si="4">D14*20%</f>
        <v>382.56408320000003</v>
      </c>
      <c r="E15" s="34">
        <f t="shared" si="4"/>
        <v>382.56408320000003</v>
      </c>
      <c r="F15" s="34">
        <f t="shared" si="4"/>
        <v>382.56408320000003</v>
      </c>
      <c r="G15" s="34">
        <f t="shared" si="4"/>
        <v>382.56408320000003</v>
      </c>
      <c r="H15" s="34">
        <f t="shared" si="4"/>
        <v>382.56408320000003</v>
      </c>
      <c r="I15" s="34">
        <f t="shared" si="4"/>
        <v>382.56408320000003</v>
      </c>
      <c r="J15" s="34">
        <f t="shared" si="4"/>
        <v>382.56408320000003</v>
      </c>
      <c r="K15" s="34">
        <f t="shared" si="4"/>
        <v>382.56408320000003</v>
      </c>
      <c r="L15" s="34">
        <f t="shared" si="4"/>
        <v>382.56408320000003</v>
      </c>
      <c r="M15" s="34">
        <f t="shared" si="4"/>
        <v>382.56408320000003</v>
      </c>
      <c r="N15" s="34">
        <f t="shared" si="4"/>
        <v>382.56408320000003</v>
      </c>
      <c r="O15" s="34"/>
      <c r="P15" s="34"/>
    </row>
    <row r="16" spans="2:16" x14ac:dyDescent="0.25">
      <c r="B16" s="34" t="s">
        <v>80</v>
      </c>
      <c r="C16" s="34">
        <f>C14+C15</f>
        <v>2295.3844991999999</v>
      </c>
      <c r="D16" s="34">
        <f t="shared" ref="D16:N16" si="5">D14+D15</f>
        <v>2295.3844991999999</v>
      </c>
      <c r="E16" s="34">
        <f t="shared" si="5"/>
        <v>2295.3844991999999</v>
      </c>
      <c r="F16" s="34">
        <f t="shared" si="5"/>
        <v>2295.3844991999999</v>
      </c>
      <c r="G16" s="34">
        <f t="shared" si="5"/>
        <v>2295.3844991999999</v>
      </c>
      <c r="H16" s="34">
        <f t="shared" si="5"/>
        <v>2295.3844991999999</v>
      </c>
      <c r="I16" s="34">
        <f t="shared" si="5"/>
        <v>2295.3844991999999</v>
      </c>
      <c r="J16" s="34">
        <f t="shared" si="5"/>
        <v>2295.3844991999999</v>
      </c>
      <c r="K16" s="34">
        <f t="shared" si="5"/>
        <v>2295.3844991999999</v>
      </c>
      <c r="L16" s="34">
        <f t="shared" si="5"/>
        <v>2295.3844991999999</v>
      </c>
      <c r="M16" s="34">
        <f t="shared" si="5"/>
        <v>2295.3844991999999</v>
      </c>
      <c r="N16" s="34">
        <f t="shared" si="5"/>
        <v>2295.3844991999999</v>
      </c>
      <c r="O16" s="34"/>
      <c r="P16" s="34"/>
    </row>
    <row r="17" spans="2:17" x14ac:dyDescent="0.25">
      <c r="B17" s="59" t="s">
        <v>81</v>
      </c>
      <c r="C17" s="59">
        <f>C16</f>
        <v>2295.3844991999999</v>
      </c>
      <c r="D17" s="59">
        <f>D16</f>
        <v>2295.3844991999999</v>
      </c>
      <c r="E17" s="59">
        <f t="shared" ref="E17:N17" si="6">E16</f>
        <v>2295.3844991999999</v>
      </c>
      <c r="F17" s="59">
        <f t="shared" si="6"/>
        <v>2295.3844991999999</v>
      </c>
      <c r="G17" s="59">
        <f t="shared" si="6"/>
        <v>2295.3844991999999</v>
      </c>
      <c r="H17" s="59">
        <f t="shared" si="6"/>
        <v>2295.3844991999999</v>
      </c>
      <c r="I17" s="59">
        <f t="shared" si="6"/>
        <v>2295.3844991999999</v>
      </c>
      <c r="J17" s="59">
        <f t="shared" si="6"/>
        <v>2295.3844991999999</v>
      </c>
      <c r="K17" s="59">
        <f t="shared" si="6"/>
        <v>2295.3844991999999</v>
      </c>
      <c r="L17" s="59">
        <f t="shared" si="6"/>
        <v>2295.3844991999999</v>
      </c>
      <c r="M17" s="59">
        <f t="shared" si="6"/>
        <v>2295.3844991999999</v>
      </c>
      <c r="N17" s="59">
        <f t="shared" si="6"/>
        <v>2295.3844991999999</v>
      </c>
      <c r="O17" s="60" t="s">
        <v>82</v>
      </c>
      <c r="P17" s="61">
        <v>0</v>
      </c>
    </row>
    <row r="20" spans="2:17" x14ac:dyDescent="0.25">
      <c r="B20" s="271" t="s">
        <v>168</v>
      </c>
      <c r="C20" s="271"/>
      <c r="D20" s="271"/>
      <c r="E20" s="271"/>
      <c r="F20" s="271"/>
      <c r="G20" s="271"/>
      <c r="H20" s="271"/>
      <c r="I20" s="271"/>
      <c r="J20" s="271"/>
      <c r="K20" s="271"/>
      <c r="L20" s="271"/>
      <c r="M20" s="271"/>
      <c r="N20" s="271"/>
      <c r="O20" s="271"/>
      <c r="P20" s="271"/>
    </row>
    <row r="21" spans="2:17" x14ac:dyDescent="0.25">
      <c r="B21" s="213"/>
      <c r="C21" s="215" t="s">
        <v>50</v>
      </c>
      <c r="D21" s="215" t="s">
        <v>51</v>
      </c>
      <c r="E21" s="215" t="s">
        <v>52</v>
      </c>
      <c r="F21" s="215" t="s">
        <v>53</v>
      </c>
      <c r="G21" s="215" t="s">
        <v>54</v>
      </c>
      <c r="H21" s="215" t="s">
        <v>55</v>
      </c>
      <c r="I21" s="215" t="s">
        <v>56</v>
      </c>
      <c r="J21" s="215" t="s">
        <v>57</v>
      </c>
      <c r="K21" s="215" t="s">
        <v>58</v>
      </c>
      <c r="L21" s="215" t="s">
        <v>59</v>
      </c>
      <c r="M21" s="215" t="s">
        <v>60</v>
      </c>
      <c r="N21" s="215" t="s">
        <v>61</v>
      </c>
      <c r="O21" s="220" t="s">
        <v>62</v>
      </c>
      <c r="P21" s="221"/>
    </row>
    <row r="22" spans="2:17" x14ac:dyDescent="0.25">
      <c r="B22" s="231"/>
      <c r="C22" s="232"/>
      <c r="D22" s="232"/>
      <c r="E22" s="232"/>
      <c r="F22" s="232"/>
      <c r="G22" s="232"/>
      <c r="H22" s="232"/>
      <c r="I22" s="232"/>
      <c r="J22" s="232"/>
      <c r="K22" s="232"/>
      <c r="L22" s="232"/>
      <c r="M22" s="232"/>
      <c r="N22" s="232"/>
      <c r="O22" s="58" t="s">
        <v>64</v>
      </c>
      <c r="P22" s="58" t="s">
        <v>65</v>
      </c>
    </row>
    <row r="23" spans="2:17" x14ac:dyDescent="0.25">
      <c r="B23" s="21" t="s">
        <v>84</v>
      </c>
      <c r="C23" s="21">
        <v>7100</v>
      </c>
      <c r="D23" s="21">
        <v>7100</v>
      </c>
      <c r="E23" s="21">
        <v>7100</v>
      </c>
      <c r="F23" s="21">
        <v>7100</v>
      </c>
      <c r="G23" s="21">
        <v>7100</v>
      </c>
      <c r="H23" s="21">
        <v>7100</v>
      </c>
      <c r="I23" s="21">
        <v>7100</v>
      </c>
      <c r="J23" s="21">
        <v>7100</v>
      </c>
      <c r="K23" s="21">
        <v>7100</v>
      </c>
      <c r="L23" s="21">
        <v>7100</v>
      </c>
      <c r="M23" s="21">
        <v>7100</v>
      </c>
      <c r="N23" s="22">
        <v>7100</v>
      </c>
      <c r="O23" s="60" t="s">
        <v>85</v>
      </c>
      <c r="P23" s="61">
        <f>SUM(C23:N23)</f>
        <v>85200</v>
      </c>
    </row>
    <row r="24" spans="2:17" x14ac:dyDescent="0.25">
      <c r="B24" s="21" t="s">
        <v>86</v>
      </c>
      <c r="C24" s="21">
        <f>C23*20%</f>
        <v>1420</v>
      </c>
      <c r="D24" s="21">
        <f t="shared" ref="D24:N24" si="7">D23*20%</f>
        <v>1420</v>
      </c>
      <c r="E24" s="21">
        <f t="shared" si="7"/>
        <v>1420</v>
      </c>
      <c r="F24" s="21">
        <f t="shared" si="7"/>
        <v>1420</v>
      </c>
      <c r="G24" s="21">
        <f t="shared" si="7"/>
        <v>1420</v>
      </c>
      <c r="H24" s="21">
        <f t="shared" si="7"/>
        <v>1420</v>
      </c>
      <c r="I24" s="21">
        <f t="shared" si="7"/>
        <v>1420</v>
      </c>
      <c r="J24" s="21">
        <f t="shared" si="7"/>
        <v>1420</v>
      </c>
      <c r="K24" s="21">
        <f t="shared" si="7"/>
        <v>1420</v>
      </c>
      <c r="L24" s="21">
        <f t="shared" si="7"/>
        <v>1420</v>
      </c>
      <c r="M24" s="21">
        <f t="shared" si="7"/>
        <v>1420</v>
      </c>
      <c r="N24" s="22">
        <f t="shared" si="7"/>
        <v>1420</v>
      </c>
      <c r="O24" s="47"/>
      <c r="P24" s="48"/>
    </row>
    <row r="25" spans="2:17" x14ac:dyDescent="0.25">
      <c r="B25" s="23" t="s">
        <v>87</v>
      </c>
      <c r="C25" s="23">
        <f>C23+C24</f>
        <v>8520</v>
      </c>
      <c r="D25" s="23">
        <f t="shared" ref="D25:N25" si="8">D23+D24</f>
        <v>8520</v>
      </c>
      <c r="E25" s="23">
        <f t="shared" si="8"/>
        <v>8520</v>
      </c>
      <c r="F25" s="23">
        <f t="shared" si="8"/>
        <v>8520</v>
      </c>
      <c r="G25" s="23">
        <f t="shared" si="8"/>
        <v>8520</v>
      </c>
      <c r="H25" s="23">
        <f t="shared" si="8"/>
        <v>8520</v>
      </c>
      <c r="I25" s="23">
        <f t="shared" si="8"/>
        <v>8520</v>
      </c>
      <c r="J25" s="23">
        <f t="shared" si="8"/>
        <v>8520</v>
      </c>
      <c r="K25" s="23">
        <f t="shared" si="8"/>
        <v>8520</v>
      </c>
      <c r="L25" s="23">
        <f t="shared" si="8"/>
        <v>8520</v>
      </c>
      <c r="M25" s="23">
        <f t="shared" si="8"/>
        <v>8520</v>
      </c>
      <c r="N25" s="25">
        <f t="shared" si="8"/>
        <v>8520</v>
      </c>
      <c r="O25" s="34"/>
      <c r="P25" s="34"/>
    </row>
    <row r="26" spans="2:17" x14ac:dyDescent="0.25">
      <c r="B26" s="59" t="s">
        <v>81</v>
      </c>
      <c r="C26" s="59">
        <f>+C23+C24</f>
        <v>8520</v>
      </c>
      <c r="D26" s="59">
        <f t="shared" ref="D26:N26" si="9">+D23+D24</f>
        <v>8520</v>
      </c>
      <c r="E26" s="59">
        <f t="shared" si="9"/>
        <v>8520</v>
      </c>
      <c r="F26" s="59">
        <f t="shared" si="9"/>
        <v>8520</v>
      </c>
      <c r="G26" s="59">
        <f t="shared" si="9"/>
        <v>8520</v>
      </c>
      <c r="H26" s="59">
        <f t="shared" si="9"/>
        <v>8520</v>
      </c>
      <c r="I26" s="59">
        <f t="shared" si="9"/>
        <v>8520</v>
      </c>
      <c r="J26" s="59">
        <f t="shared" si="9"/>
        <v>8520</v>
      </c>
      <c r="K26" s="59">
        <f t="shared" si="9"/>
        <v>8520</v>
      </c>
      <c r="L26" s="59">
        <f t="shared" si="9"/>
        <v>8520</v>
      </c>
      <c r="M26" s="59">
        <f t="shared" si="9"/>
        <v>8520</v>
      </c>
      <c r="N26" s="59">
        <f t="shared" si="9"/>
        <v>8520</v>
      </c>
      <c r="O26" s="47"/>
      <c r="P26" s="34"/>
    </row>
    <row r="27" spans="2:17" x14ac:dyDescent="0.25">
      <c r="B27" s="28" t="s">
        <v>89</v>
      </c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2">
        <v>7500</v>
      </c>
      <c r="O27" s="47"/>
      <c r="P27" s="48"/>
      <c r="Q27" s="20" t="s">
        <v>166</v>
      </c>
    </row>
    <row r="28" spans="2:17" x14ac:dyDescent="0.25">
      <c r="B28" s="26" t="s">
        <v>144</v>
      </c>
      <c r="C28" s="27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2">
        <f>P28</f>
        <v>3214.2857142857142</v>
      </c>
      <c r="O28" s="60" t="s">
        <v>90</v>
      </c>
      <c r="P28" s="61">
        <f>Emprunt!K4</f>
        <v>3214.2857142857142</v>
      </c>
    </row>
    <row r="29" spans="2:17" x14ac:dyDescent="0.25">
      <c r="B29" s="30" t="s">
        <v>145</v>
      </c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2">
        <f>Emprunt!K15</f>
        <v>1700</v>
      </c>
      <c r="O29" s="60" t="s">
        <v>90</v>
      </c>
      <c r="P29" s="61">
        <f>N29</f>
        <v>1700</v>
      </c>
    </row>
    <row r="30" spans="2:17" x14ac:dyDescent="0.25">
      <c r="B30" s="24" t="s">
        <v>158</v>
      </c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32">
        <f>P30</f>
        <v>3200</v>
      </c>
      <c r="O30" s="60" t="s">
        <v>90</v>
      </c>
      <c r="P30" s="61">
        <f>Emprunt!K28</f>
        <v>3200</v>
      </c>
    </row>
    <row r="31" spans="2:17" x14ac:dyDescent="0.25">
      <c r="B31" s="59" t="s">
        <v>94</v>
      </c>
      <c r="C31" s="59">
        <f>C27+C28</f>
        <v>0</v>
      </c>
      <c r="D31" s="59">
        <f t="shared" ref="D31:M31" si="10">D27+D28</f>
        <v>0</v>
      </c>
      <c r="E31" s="59">
        <f t="shared" si="10"/>
        <v>0</v>
      </c>
      <c r="F31" s="59">
        <f t="shared" si="10"/>
        <v>0</v>
      </c>
      <c r="G31" s="59">
        <f t="shared" si="10"/>
        <v>0</v>
      </c>
      <c r="H31" s="59">
        <f t="shared" si="10"/>
        <v>0</v>
      </c>
      <c r="I31" s="59">
        <f t="shared" si="10"/>
        <v>0</v>
      </c>
      <c r="J31" s="59">
        <f t="shared" si="10"/>
        <v>0</v>
      </c>
      <c r="K31" s="59">
        <f t="shared" si="10"/>
        <v>0</v>
      </c>
      <c r="L31" s="59">
        <f t="shared" si="10"/>
        <v>0</v>
      </c>
      <c r="M31" s="59">
        <f t="shared" si="10"/>
        <v>0</v>
      </c>
      <c r="N31" s="59">
        <f>N27+N28+N29+N30</f>
        <v>15614.285714285714</v>
      </c>
      <c r="O31" s="60" t="s">
        <v>93</v>
      </c>
      <c r="P31" s="61">
        <f>SUM(C31:N31)</f>
        <v>15614.285714285714</v>
      </c>
    </row>
    <row r="32" spans="2:17" x14ac:dyDescent="0.25">
      <c r="B32" s="21" t="s">
        <v>95</v>
      </c>
      <c r="C32" s="21">
        <f t="shared" ref="C32:N32" si="11">307500/12</f>
        <v>25625</v>
      </c>
      <c r="D32" s="21">
        <f t="shared" si="11"/>
        <v>25625</v>
      </c>
      <c r="E32" s="21">
        <f t="shared" si="11"/>
        <v>25625</v>
      </c>
      <c r="F32" s="21">
        <f t="shared" si="11"/>
        <v>25625</v>
      </c>
      <c r="G32" s="21">
        <f t="shared" si="11"/>
        <v>25625</v>
      </c>
      <c r="H32" s="21">
        <f t="shared" si="11"/>
        <v>25625</v>
      </c>
      <c r="I32" s="21">
        <f t="shared" si="11"/>
        <v>25625</v>
      </c>
      <c r="J32" s="21">
        <f t="shared" si="11"/>
        <v>25625</v>
      </c>
      <c r="K32" s="21">
        <f t="shared" si="11"/>
        <v>25625</v>
      </c>
      <c r="L32" s="21">
        <f t="shared" si="11"/>
        <v>25625</v>
      </c>
      <c r="M32" s="21">
        <f t="shared" si="11"/>
        <v>25625</v>
      </c>
      <c r="N32" s="22">
        <f t="shared" si="11"/>
        <v>25625</v>
      </c>
      <c r="O32" s="47"/>
      <c r="P32" s="48"/>
    </row>
    <row r="33" spans="2:17" x14ac:dyDescent="0.25">
      <c r="B33" s="59" t="s">
        <v>96</v>
      </c>
      <c r="C33" s="59">
        <f t="shared" ref="C33:N33" si="12">C32</f>
        <v>25625</v>
      </c>
      <c r="D33" s="59">
        <f t="shared" si="12"/>
        <v>25625</v>
      </c>
      <c r="E33" s="59">
        <f t="shared" si="12"/>
        <v>25625</v>
      </c>
      <c r="F33" s="59">
        <f t="shared" si="12"/>
        <v>25625</v>
      </c>
      <c r="G33" s="59">
        <f t="shared" si="12"/>
        <v>25625</v>
      </c>
      <c r="H33" s="59">
        <f t="shared" si="12"/>
        <v>25625</v>
      </c>
      <c r="I33" s="59">
        <f t="shared" si="12"/>
        <v>25625</v>
      </c>
      <c r="J33" s="59">
        <f t="shared" si="12"/>
        <v>25625</v>
      </c>
      <c r="K33" s="59">
        <f t="shared" si="12"/>
        <v>25625</v>
      </c>
      <c r="L33" s="59">
        <f t="shared" si="12"/>
        <v>25625</v>
      </c>
      <c r="M33" s="59">
        <f t="shared" si="12"/>
        <v>25625</v>
      </c>
      <c r="N33" s="59">
        <f t="shared" si="12"/>
        <v>25625</v>
      </c>
      <c r="O33" s="60" t="s">
        <v>97</v>
      </c>
      <c r="P33" s="61">
        <f>SUM(C33:N33)</f>
        <v>307500</v>
      </c>
    </row>
    <row r="34" spans="2:17" x14ac:dyDescent="0.25">
      <c r="B34" s="21" t="s">
        <v>21</v>
      </c>
      <c r="C34" s="21">
        <f t="shared" ref="C34:N34" si="13">C32*0.4</f>
        <v>10250</v>
      </c>
      <c r="D34" s="21">
        <f t="shared" si="13"/>
        <v>10250</v>
      </c>
      <c r="E34" s="21">
        <f t="shared" si="13"/>
        <v>10250</v>
      </c>
      <c r="F34" s="21">
        <f t="shared" si="13"/>
        <v>10250</v>
      </c>
      <c r="G34" s="21">
        <f t="shared" si="13"/>
        <v>10250</v>
      </c>
      <c r="H34" s="21">
        <f t="shared" si="13"/>
        <v>10250</v>
      </c>
      <c r="I34" s="21">
        <f t="shared" si="13"/>
        <v>10250</v>
      </c>
      <c r="J34" s="21">
        <f t="shared" si="13"/>
        <v>10250</v>
      </c>
      <c r="K34" s="21">
        <f t="shared" si="13"/>
        <v>10250</v>
      </c>
      <c r="L34" s="21">
        <f t="shared" si="13"/>
        <v>10250</v>
      </c>
      <c r="M34" s="21">
        <f t="shared" si="13"/>
        <v>10250</v>
      </c>
      <c r="N34" s="22">
        <f t="shared" si="13"/>
        <v>10250</v>
      </c>
      <c r="O34" s="60" t="s">
        <v>98</v>
      </c>
      <c r="P34" s="61">
        <f>SUM(C34:N34)</f>
        <v>123000</v>
      </c>
    </row>
    <row r="35" spans="2:17" x14ac:dyDescent="0.25">
      <c r="B35" s="59" t="s">
        <v>99</v>
      </c>
      <c r="C35" s="59">
        <f>'N+2 '!P34</f>
        <v>10250</v>
      </c>
      <c r="D35" s="59">
        <f t="shared" ref="D35:N35" si="14">C34</f>
        <v>10250</v>
      </c>
      <c r="E35" s="59">
        <f t="shared" si="14"/>
        <v>10250</v>
      </c>
      <c r="F35" s="59">
        <f t="shared" si="14"/>
        <v>10250</v>
      </c>
      <c r="G35" s="59">
        <f t="shared" si="14"/>
        <v>10250</v>
      </c>
      <c r="H35" s="59">
        <f t="shared" si="14"/>
        <v>10250</v>
      </c>
      <c r="I35" s="59">
        <f t="shared" si="14"/>
        <v>10250</v>
      </c>
      <c r="J35" s="59">
        <f t="shared" si="14"/>
        <v>10250</v>
      </c>
      <c r="K35" s="59">
        <f t="shared" si="14"/>
        <v>10250</v>
      </c>
      <c r="L35" s="59">
        <f t="shared" si="14"/>
        <v>10250</v>
      </c>
      <c r="M35" s="59">
        <f t="shared" si="14"/>
        <v>10250</v>
      </c>
      <c r="N35" s="59">
        <f t="shared" si="14"/>
        <v>10250</v>
      </c>
      <c r="O35" s="60" t="s">
        <v>100</v>
      </c>
      <c r="P35" s="61">
        <f>N34</f>
        <v>10250</v>
      </c>
    </row>
    <row r="38" spans="2:17" x14ac:dyDescent="0.25">
      <c r="B38" s="267" t="s">
        <v>101</v>
      </c>
      <c r="C38" s="267"/>
      <c r="D38" s="267"/>
      <c r="E38" s="267"/>
      <c r="F38" s="267"/>
      <c r="G38" s="267"/>
      <c r="H38" s="267"/>
      <c r="I38" s="267"/>
      <c r="J38" s="267"/>
      <c r="K38" s="267"/>
      <c r="L38" s="267"/>
      <c r="M38" s="267"/>
      <c r="N38" s="267"/>
      <c r="O38" s="267"/>
      <c r="P38" s="267"/>
    </row>
    <row r="39" spans="2:17" x14ac:dyDescent="0.25">
      <c r="B39" s="213"/>
      <c r="C39" s="215" t="s">
        <v>50</v>
      </c>
      <c r="D39" s="215" t="s">
        <v>51</v>
      </c>
      <c r="E39" s="215" t="s">
        <v>52</v>
      </c>
      <c r="F39" s="215" t="s">
        <v>53</v>
      </c>
      <c r="G39" s="215" t="s">
        <v>54</v>
      </c>
      <c r="H39" s="215" t="s">
        <v>55</v>
      </c>
      <c r="I39" s="215" t="s">
        <v>56</v>
      </c>
      <c r="J39" s="215" t="s">
        <v>57</v>
      </c>
      <c r="K39" s="215" t="s">
        <v>58</v>
      </c>
      <c r="L39" s="215" t="s">
        <v>59</v>
      </c>
      <c r="M39" s="215" t="s">
        <v>60</v>
      </c>
      <c r="N39" s="215" t="s">
        <v>61</v>
      </c>
      <c r="O39" s="220" t="s">
        <v>62</v>
      </c>
      <c r="P39" s="221"/>
    </row>
    <row r="40" spans="2:17" x14ac:dyDescent="0.25">
      <c r="B40" s="214"/>
      <c r="C40" s="216"/>
      <c r="D40" s="216"/>
      <c r="E40" s="216"/>
      <c r="F40" s="216"/>
      <c r="G40" s="216"/>
      <c r="H40" s="216"/>
      <c r="I40" s="216"/>
      <c r="J40" s="216"/>
      <c r="K40" s="216"/>
      <c r="L40" s="216"/>
      <c r="M40" s="216"/>
      <c r="N40" s="216"/>
      <c r="O40" s="58" t="s">
        <v>64</v>
      </c>
      <c r="P40" s="58" t="s">
        <v>65</v>
      </c>
    </row>
    <row r="41" spans="2:17" x14ac:dyDescent="0.25">
      <c r="B41" s="46" t="s">
        <v>102</v>
      </c>
      <c r="C41" s="35"/>
      <c r="D41" s="35"/>
      <c r="E41" s="35"/>
      <c r="F41" s="35"/>
      <c r="G41" s="35"/>
      <c r="H41" s="35"/>
      <c r="I41" s="35"/>
      <c r="J41" s="35"/>
      <c r="K41" s="35"/>
      <c r="L41" s="35">
        <v>8200</v>
      </c>
      <c r="M41" s="35"/>
      <c r="N41" s="35"/>
      <c r="O41" s="60" t="s">
        <v>103</v>
      </c>
      <c r="P41" s="61">
        <f>SUM(C41:N41)</f>
        <v>8200</v>
      </c>
    </row>
    <row r="42" spans="2:17" x14ac:dyDescent="0.25">
      <c r="B42" s="34" t="s">
        <v>105</v>
      </c>
      <c r="C42" s="34"/>
      <c r="D42" s="34"/>
      <c r="E42" s="34"/>
      <c r="F42" s="34"/>
      <c r="G42" s="34"/>
      <c r="H42" s="34"/>
      <c r="I42" s="34"/>
      <c r="J42" s="34"/>
      <c r="K42" s="34"/>
      <c r="L42" s="34">
        <v>8200</v>
      </c>
      <c r="M42" s="34"/>
      <c r="N42" s="34"/>
      <c r="O42" s="34"/>
      <c r="P42" s="34"/>
    </row>
    <row r="43" spans="2:17" x14ac:dyDescent="0.25">
      <c r="B43" s="34" t="s">
        <v>106</v>
      </c>
      <c r="C43" s="34">
        <f>$P$43/12</f>
        <v>175</v>
      </c>
      <c r="D43" s="34">
        <f t="shared" ref="D43:N43" si="15">$P$43/12</f>
        <v>175</v>
      </c>
      <c r="E43" s="34">
        <f t="shared" si="15"/>
        <v>175</v>
      </c>
      <c r="F43" s="34">
        <f t="shared" si="15"/>
        <v>175</v>
      </c>
      <c r="G43" s="34">
        <f t="shared" si="15"/>
        <v>175</v>
      </c>
      <c r="H43" s="34">
        <f t="shared" si="15"/>
        <v>175</v>
      </c>
      <c r="I43" s="34">
        <f t="shared" si="15"/>
        <v>175</v>
      </c>
      <c r="J43" s="34">
        <f t="shared" si="15"/>
        <v>175</v>
      </c>
      <c r="K43" s="34">
        <f t="shared" si="15"/>
        <v>175</v>
      </c>
      <c r="L43" s="34">
        <f t="shared" si="15"/>
        <v>175</v>
      </c>
      <c r="M43" s="34">
        <f t="shared" si="15"/>
        <v>175</v>
      </c>
      <c r="N43" s="34">
        <f t="shared" si="15"/>
        <v>175</v>
      </c>
      <c r="O43" s="60" t="s">
        <v>107</v>
      </c>
      <c r="P43" s="61">
        <f>Emprunt!D11</f>
        <v>2100</v>
      </c>
    </row>
    <row r="44" spans="2:17" x14ac:dyDescent="0.25">
      <c r="B44" s="34" t="s">
        <v>108</v>
      </c>
      <c r="C44" s="34">
        <f>$P$44/12</f>
        <v>2500</v>
      </c>
      <c r="D44" s="34">
        <f t="shared" ref="D44:N44" si="16">$P$44/12</f>
        <v>2500</v>
      </c>
      <c r="E44" s="34">
        <f t="shared" si="16"/>
        <v>2500</v>
      </c>
      <c r="F44" s="34">
        <f t="shared" si="16"/>
        <v>2500</v>
      </c>
      <c r="G44" s="34">
        <f t="shared" si="16"/>
        <v>2500</v>
      </c>
      <c r="H44" s="34">
        <f t="shared" si="16"/>
        <v>2500</v>
      </c>
      <c r="I44" s="34">
        <f t="shared" si="16"/>
        <v>2500</v>
      </c>
      <c r="J44" s="34">
        <f t="shared" si="16"/>
        <v>2500</v>
      </c>
      <c r="K44" s="34">
        <f t="shared" si="16"/>
        <v>2500</v>
      </c>
      <c r="L44" s="34">
        <f t="shared" si="16"/>
        <v>2500</v>
      </c>
      <c r="M44" s="34">
        <f t="shared" si="16"/>
        <v>2500</v>
      </c>
      <c r="N44" s="34">
        <f t="shared" si="16"/>
        <v>2500</v>
      </c>
      <c r="O44" s="60" t="s">
        <v>109</v>
      </c>
      <c r="P44" s="61">
        <f>Emprunt!E9</f>
        <v>30000</v>
      </c>
      <c r="Q44" s="20" t="s">
        <v>167</v>
      </c>
    </row>
    <row r="45" spans="2:17" x14ac:dyDescent="0.25">
      <c r="B45" s="59" t="s">
        <v>71</v>
      </c>
      <c r="C45" s="59">
        <f>C43+C44</f>
        <v>2675</v>
      </c>
      <c r="D45" s="59">
        <f t="shared" ref="D45:N45" si="17">D43+D44</f>
        <v>2675</v>
      </c>
      <c r="E45" s="59">
        <f t="shared" si="17"/>
        <v>2675</v>
      </c>
      <c r="F45" s="59">
        <f t="shared" si="17"/>
        <v>2675</v>
      </c>
      <c r="G45" s="59">
        <f t="shared" si="17"/>
        <v>2675</v>
      </c>
      <c r="H45" s="59">
        <f t="shared" si="17"/>
        <v>2675</v>
      </c>
      <c r="I45" s="59">
        <f t="shared" si="17"/>
        <v>2675</v>
      </c>
      <c r="J45" s="59">
        <f t="shared" si="17"/>
        <v>2675</v>
      </c>
      <c r="K45" s="59">
        <f t="shared" si="17"/>
        <v>2675</v>
      </c>
      <c r="L45" s="59">
        <f t="shared" si="17"/>
        <v>2675</v>
      </c>
      <c r="M45" s="59">
        <f t="shared" si="17"/>
        <v>2675</v>
      </c>
      <c r="N45" s="59">
        <f t="shared" si="17"/>
        <v>2675</v>
      </c>
      <c r="O45" s="38"/>
      <c r="P45" s="38"/>
    </row>
    <row r="48" spans="2:17" x14ac:dyDescent="0.25">
      <c r="B48" s="36" t="s">
        <v>110</v>
      </c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</row>
    <row r="49" spans="2:16" x14ac:dyDescent="0.25">
      <c r="B49" s="213"/>
      <c r="C49" s="215" t="s">
        <v>50</v>
      </c>
      <c r="D49" s="215" t="s">
        <v>51</v>
      </c>
      <c r="E49" s="215" t="s">
        <v>52</v>
      </c>
      <c r="F49" s="215" t="s">
        <v>53</v>
      </c>
      <c r="G49" s="215" t="s">
        <v>54</v>
      </c>
      <c r="H49" s="215" t="s">
        <v>55</v>
      </c>
      <c r="I49" s="215" t="s">
        <v>56</v>
      </c>
      <c r="J49" s="215" t="s">
        <v>57</v>
      </c>
      <c r="K49" s="215" t="s">
        <v>58</v>
      </c>
      <c r="L49" s="215" t="s">
        <v>59</v>
      </c>
      <c r="M49" s="215" t="s">
        <v>60</v>
      </c>
      <c r="N49" s="215" t="s">
        <v>61</v>
      </c>
      <c r="O49" s="220" t="s">
        <v>62</v>
      </c>
      <c r="P49" s="221"/>
    </row>
    <row r="50" spans="2:16" x14ac:dyDescent="0.25">
      <c r="B50" s="214"/>
      <c r="C50" s="216"/>
      <c r="D50" s="216"/>
      <c r="E50" s="216"/>
      <c r="F50" s="216"/>
      <c r="G50" s="216"/>
      <c r="H50" s="216"/>
      <c r="I50" s="216"/>
      <c r="J50" s="216"/>
      <c r="K50" s="216"/>
      <c r="L50" s="216"/>
      <c r="M50" s="216"/>
      <c r="N50" s="216"/>
      <c r="O50" s="58" t="s">
        <v>64</v>
      </c>
      <c r="P50" s="58" t="s">
        <v>65</v>
      </c>
    </row>
    <row r="51" spans="2:16" x14ac:dyDescent="0.25">
      <c r="B51" s="35" t="s">
        <v>111</v>
      </c>
      <c r="C51" s="35">
        <f>Emprunt!J28</f>
        <v>22400</v>
      </c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60" t="s">
        <v>112</v>
      </c>
      <c r="P51" s="61">
        <f>SUM(C51:N51)</f>
        <v>22400</v>
      </c>
    </row>
    <row r="52" spans="2:16" x14ac:dyDescent="0.25">
      <c r="B52" s="34" t="s">
        <v>113</v>
      </c>
      <c r="C52" s="34">
        <f>C51*20%</f>
        <v>4480</v>
      </c>
      <c r="D52" s="34">
        <f t="shared" ref="D52:N52" si="18">D51*20%</f>
        <v>0</v>
      </c>
      <c r="E52" s="34">
        <f t="shared" si="18"/>
        <v>0</v>
      </c>
      <c r="F52" s="34">
        <f t="shared" si="18"/>
        <v>0</v>
      </c>
      <c r="G52" s="34">
        <f t="shared" si="18"/>
        <v>0</v>
      </c>
      <c r="H52" s="34">
        <f t="shared" si="18"/>
        <v>0</v>
      </c>
      <c r="I52" s="34">
        <f t="shared" si="18"/>
        <v>0</v>
      </c>
      <c r="J52" s="34">
        <f t="shared" si="18"/>
        <v>0</v>
      </c>
      <c r="K52" s="34">
        <f t="shared" si="18"/>
        <v>0</v>
      </c>
      <c r="L52" s="34">
        <f t="shared" si="18"/>
        <v>0</v>
      </c>
      <c r="M52" s="34">
        <f t="shared" si="18"/>
        <v>0</v>
      </c>
      <c r="N52" s="34">
        <f t="shared" si="18"/>
        <v>0</v>
      </c>
      <c r="O52" s="34"/>
      <c r="P52" s="34"/>
    </row>
    <row r="53" spans="2:16" x14ac:dyDescent="0.25">
      <c r="B53" s="34" t="s">
        <v>114</v>
      </c>
      <c r="C53" s="34">
        <f>C51+C52</f>
        <v>26880</v>
      </c>
      <c r="D53" s="34">
        <f t="shared" ref="D53:N53" si="19">D51+D52</f>
        <v>0</v>
      </c>
      <c r="E53" s="34">
        <f t="shared" si="19"/>
        <v>0</v>
      </c>
      <c r="F53" s="34">
        <f t="shared" si="19"/>
        <v>0</v>
      </c>
      <c r="G53" s="34">
        <f t="shared" si="19"/>
        <v>0</v>
      </c>
      <c r="H53" s="34">
        <f t="shared" si="19"/>
        <v>0</v>
      </c>
      <c r="I53" s="34">
        <f t="shared" si="19"/>
        <v>0</v>
      </c>
      <c r="J53" s="34">
        <f t="shared" si="19"/>
        <v>0</v>
      </c>
      <c r="K53" s="34">
        <f t="shared" si="19"/>
        <v>0</v>
      </c>
      <c r="L53" s="34">
        <f t="shared" si="19"/>
        <v>0</v>
      </c>
      <c r="M53" s="34">
        <f t="shared" si="19"/>
        <v>0</v>
      </c>
      <c r="N53" s="34">
        <f t="shared" si="19"/>
        <v>0</v>
      </c>
      <c r="O53" s="34"/>
      <c r="P53" s="34"/>
    </row>
    <row r="54" spans="2:16" x14ac:dyDescent="0.25">
      <c r="B54" s="59" t="s">
        <v>81</v>
      </c>
      <c r="C54" s="59">
        <f>C53</f>
        <v>26880</v>
      </c>
      <c r="D54" s="59">
        <f t="shared" ref="D54:N54" si="20">D53</f>
        <v>0</v>
      </c>
      <c r="E54" s="59">
        <f t="shared" si="20"/>
        <v>0</v>
      </c>
      <c r="F54" s="59">
        <f t="shared" si="20"/>
        <v>0</v>
      </c>
      <c r="G54" s="59">
        <f t="shared" si="20"/>
        <v>0</v>
      </c>
      <c r="H54" s="59">
        <f t="shared" si="20"/>
        <v>0</v>
      </c>
      <c r="I54" s="59">
        <f t="shared" si="20"/>
        <v>0</v>
      </c>
      <c r="J54" s="59">
        <f t="shared" si="20"/>
        <v>0</v>
      </c>
      <c r="K54" s="59">
        <f t="shared" si="20"/>
        <v>0</v>
      </c>
      <c r="L54" s="59">
        <f t="shared" si="20"/>
        <v>0</v>
      </c>
      <c r="M54" s="59">
        <f t="shared" si="20"/>
        <v>0</v>
      </c>
      <c r="N54" s="59">
        <f t="shared" si="20"/>
        <v>0</v>
      </c>
      <c r="O54" s="60" t="s">
        <v>115</v>
      </c>
      <c r="P54" s="61">
        <v>0</v>
      </c>
    </row>
    <row r="55" spans="2:16" x14ac:dyDescent="0.25">
      <c r="C55" s="20" t="s">
        <v>149</v>
      </c>
    </row>
    <row r="57" spans="2:16" x14ac:dyDescent="0.25">
      <c r="B57" s="36" t="s">
        <v>116</v>
      </c>
      <c r="C57" s="36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</row>
    <row r="58" spans="2:16" x14ac:dyDescent="0.25">
      <c r="B58" s="213"/>
      <c r="C58" s="215" t="s">
        <v>50</v>
      </c>
      <c r="D58" s="215" t="s">
        <v>51</v>
      </c>
      <c r="E58" s="215" t="s">
        <v>52</v>
      </c>
      <c r="F58" s="215" t="s">
        <v>53</v>
      </c>
      <c r="G58" s="215" t="s">
        <v>54</v>
      </c>
      <c r="H58" s="215" t="s">
        <v>55</v>
      </c>
      <c r="I58" s="215" t="s">
        <v>56</v>
      </c>
      <c r="J58" s="215" t="s">
        <v>57</v>
      </c>
      <c r="K58" s="215" t="s">
        <v>58</v>
      </c>
      <c r="L58" s="215" t="s">
        <v>59</v>
      </c>
      <c r="M58" s="215" t="s">
        <v>60</v>
      </c>
      <c r="N58" s="215" t="s">
        <v>61</v>
      </c>
      <c r="O58" s="220" t="s">
        <v>62</v>
      </c>
      <c r="P58" s="221"/>
    </row>
    <row r="59" spans="2:16" x14ac:dyDescent="0.25">
      <c r="B59" s="214"/>
      <c r="C59" s="216"/>
      <c r="D59" s="216"/>
      <c r="E59" s="216"/>
      <c r="F59" s="216"/>
      <c r="G59" s="216"/>
      <c r="H59" s="216"/>
      <c r="I59" s="216"/>
      <c r="J59" s="216"/>
      <c r="K59" s="216"/>
      <c r="L59" s="216"/>
      <c r="M59" s="216"/>
      <c r="N59" s="216"/>
      <c r="O59" s="58" t="s">
        <v>64</v>
      </c>
      <c r="P59" s="58" t="s">
        <v>65</v>
      </c>
    </row>
    <row r="60" spans="2:16" x14ac:dyDescent="0.25">
      <c r="B60" s="59" t="s">
        <v>68</v>
      </c>
      <c r="C60" s="59">
        <f>C6</f>
        <v>1125.18848</v>
      </c>
      <c r="D60" s="59">
        <f t="shared" ref="D60:N60" si="21">D6</f>
        <v>1125.18848</v>
      </c>
      <c r="E60" s="59">
        <f t="shared" si="21"/>
        <v>1125.18848</v>
      </c>
      <c r="F60" s="59">
        <f t="shared" si="21"/>
        <v>1125.18848</v>
      </c>
      <c r="G60" s="59">
        <f t="shared" si="21"/>
        <v>1125.18848</v>
      </c>
      <c r="H60" s="59">
        <f t="shared" si="21"/>
        <v>1125.18848</v>
      </c>
      <c r="I60" s="59">
        <f t="shared" si="21"/>
        <v>1125.18848</v>
      </c>
      <c r="J60" s="59">
        <f t="shared" si="21"/>
        <v>1125.18848</v>
      </c>
      <c r="K60" s="59">
        <f t="shared" si="21"/>
        <v>1125.18848</v>
      </c>
      <c r="L60" s="59">
        <f t="shared" si="21"/>
        <v>1125.18848</v>
      </c>
      <c r="M60" s="59">
        <f t="shared" si="21"/>
        <v>1125.18848</v>
      </c>
      <c r="N60" s="59">
        <f t="shared" si="21"/>
        <v>1125.18848</v>
      </c>
      <c r="O60" s="34"/>
      <c r="P60" s="34"/>
    </row>
    <row r="61" spans="2:16" x14ac:dyDescent="0.25">
      <c r="B61" s="34" t="s">
        <v>79</v>
      </c>
      <c r="C61" s="34">
        <f>C15</f>
        <v>382.56408320000003</v>
      </c>
      <c r="D61" s="34">
        <f t="shared" ref="D61:N61" si="22">D15</f>
        <v>382.56408320000003</v>
      </c>
      <c r="E61" s="34">
        <f t="shared" si="22"/>
        <v>382.56408320000003</v>
      </c>
      <c r="F61" s="34">
        <f t="shared" si="22"/>
        <v>382.56408320000003</v>
      </c>
      <c r="G61" s="34">
        <f t="shared" si="22"/>
        <v>382.56408320000003</v>
      </c>
      <c r="H61" s="34">
        <f t="shared" si="22"/>
        <v>382.56408320000003</v>
      </c>
      <c r="I61" s="34">
        <f t="shared" si="22"/>
        <v>382.56408320000003</v>
      </c>
      <c r="J61" s="34">
        <f t="shared" si="22"/>
        <v>382.56408320000003</v>
      </c>
      <c r="K61" s="34">
        <f t="shared" si="22"/>
        <v>382.56408320000003</v>
      </c>
      <c r="L61" s="34">
        <f t="shared" si="22"/>
        <v>382.56408320000003</v>
      </c>
      <c r="M61" s="34">
        <f t="shared" si="22"/>
        <v>382.56408320000003</v>
      </c>
      <c r="N61" s="34">
        <f t="shared" si="22"/>
        <v>382.56408320000003</v>
      </c>
      <c r="O61" s="34"/>
      <c r="P61" s="34"/>
    </row>
    <row r="62" spans="2:16" x14ac:dyDescent="0.25">
      <c r="B62" s="34" t="s">
        <v>86</v>
      </c>
      <c r="C62" s="34">
        <f>C24</f>
        <v>1420</v>
      </c>
      <c r="D62" s="34">
        <f t="shared" ref="D62:N62" si="23">D24</f>
        <v>1420</v>
      </c>
      <c r="E62" s="34">
        <f t="shared" si="23"/>
        <v>1420</v>
      </c>
      <c r="F62" s="34">
        <f t="shared" si="23"/>
        <v>1420</v>
      </c>
      <c r="G62" s="34">
        <f t="shared" si="23"/>
        <v>1420</v>
      </c>
      <c r="H62" s="34">
        <f t="shared" si="23"/>
        <v>1420</v>
      </c>
      <c r="I62" s="34">
        <f t="shared" si="23"/>
        <v>1420</v>
      </c>
      <c r="J62" s="34">
        <f t="shared" si="23"/>
        <v>1420</v>
      </c>
      <c r="K62" s="34">
        <f t="shared" si="23"/>
        <v>1420</v>
      </c>
      <c r="L62" s="34">
        <f t="shared" si="23"/>
        <v>1420</v>
      </c>
      <c r="M62" s="34">
        <f t="shared" si="23"/>
        <v>1420</v>
      </c>
      <c r="N62" s="34">
        <f t="shared" si="23"/>
        <v>1420</v>
      </c>
      <c r="O62" s="34"/>
      <c r="P62" s="34"/>
    </row>
    <row r="63" spans="2:16" x14ac:dyDescent="0.25">
      <c r="B63" s="59" t="s">
        <v>113</v>
      </c>
      <c r="C63" s="59">
        <f>C52</f>
        <v>4480</v>
      </c>
      <c r="D63" s="59">
        <f t="shared" ref="D63:N63" si="24">D52</f>
        <v>0</v>
      </c>
      <c r="E63" s="59">
        <f t="shared" si="24"/>
        <v>0</v>
      </c>
      <c r="F63" s="59">
        <f t="shared" si="24"/>
        <v>0</v>
      </c>
      <c r="G63" s="59">
        <f t="shared" si="24"/>
        <v>0</v>
      </c>
      <c r="H63" s="59">
        <f>H52</f>
        <v>0</v>
      </c>
      <c r="I63" s="59">
        <f t="shared" si="24"/>
        <v>0</v>
      </c>
      <c r="J63" s="59">
        <f t="shared" si="24"/>
        <v>0</v>
      </c>
      <c r="K63" s="59">
        <f t="shared" si="24"/>
        <v>0</v>
      </c>
      <c r="L63" s="59">
        <f t="shared" si="24"/>
        <v>0</v>
      </c>
      <c r="M63" s="59">
        <f t="shared" si="24"/>
        <v>0</v>
      </c>
      <c r="N63" s="59">
        <f t="shared" si="24"/>
        <v>0</v>
      </c>
      <c r="O63" s="34"/>
      <c r="P63" s="34"/>
    </row>
    <row r="64" spans="2:16" x14ac:dyDescent="0.25">
      <c r="B64" s="44" t="s">
        <v>117</v>
      </c>
      <c r="C64" s="42">
        <f>C61+C62+C63</f>
        <v>6282.5640831999999</v>
      </c>
      <c r="D64" s="42">
        <f t="shared" ref="D64:N64" si="25">D61+D62+D63</f>
        <v>1802.5640831999999</v>
      </c>
      <c r="E64" s="42">
        <f t="shared" si="25"/>
        <v>1802.5640831999999</v>
      </c>
      <c r="F64" s="42">
        <f t="shared" si="25"/>
        <v>1802.5640831999999</v>
      </c>
      <c r="G64" s="42">
        <f t="shared" si="25"/>
        <v>1802.5640831999999</v>
      </c>
      <c r="H64" s="42">
        <f t="shared" si="25"/>
        <v>1802.5640831999999</v>
      </c>
      <c r="I64" s="42">
        <f t="shared" si="25"/>
        <v>1802.5640831999999</v>
      </c>
      <c r="J64" s="42">
        <f t="shared" si="25"/>
        <v>1802.5640831999999</v>
      </c>
      <c r="K64" s="42">
        <f t="shared" si="25"/>
        <v>1802.5640831999999</v>
      </c>
      <c r="L64" s="42">
        <f t="shared" si="25"/>
        <v>1802.5640831999999</v>
      </c>
      <c r="M64" s="42">
        <f t="shared" si="25"/>
        <v>1802.5640831999999</v>
      </c>
      <c r="N64" s="42">
        <f t="shared" si="25"/>
        <v>1802.5640831999999</v>
      </c>
      <c r="O64" s="34"/>
      <c r="P64" s="34"/>
    </row>
    <row r="65" spans="2:16" x14ac:dyDescent="0.25">
      <c r="B65" s="45" t="s">
        <v>118</v>
      </c>
      <c r="C65" s="43">
        <f>C60-C64</f>
        <v>-5157.3756032000001</v>
      </c>
      <c r="D65" s="43">
        <f t="shared" ref="D65:N65" si="26">D60-D64</f>
        <v>-677.37560319999989</v>
      </c>
      <c r="E65" s="43">
        <f t="shared" si="26"/>
        <v>-677.37560319999989</v>
      </c>
      <c r="F65" s="43">
        <f t="shared" si="26"/>
        <v>-677.37560319999989</v>
      </c>
      <c r="G65" s="43">
        <f t="shared" si="26"/>
        <v>-677.37560319999989</v>
      </c>
      <c r="H65" s="43">
        <f t="shared" si="26"/>
        <v>-677.37560319999989</v>
      </c>
      <c r="I65" s="43">
        <f t="shared" si="26"/>
        <v>-677.37560319999989</v>
      </c>
      <c r="J65" s="43">
        <f t="shared" si="26"/>
        <v>-677.37560319999989</v>
      </c>
      <c r="K65" s="43">
        <f t="shared" si="26"/>
        <v>-677.37560319999989</v>
      </c>
      <c r="L65" s="43">
        <f t="shared" si="26"/>
        <v>-677.37560319999989</v>
      </c>
      <c r="M65" s="43">
        <f t="shared" si="26"/>
        <v>-677.37560319999989</v>
      </c>
      <c r="N65" s="43">
        <f t="shared" si="26"/>
        <v>-677.37560319999989</v>
      </c>
      <c r="O65" s="34"/>
      <c r="P65" s="34"/>
    </row>
    <row r="66" spans="2:16" x14ac:dyDescent="0.25">
      <c r="B66" s="59" t="s">
        <v>81</v>
      </c>
      <c r="C66" s="59">
        <f>'N+2 '!P65</f>
        <v>-684.2998399999999</v>
      </c>
      <c r="D66" s="59">
        <f>C65</f>
        <v>-5157.3756032000001</v>
      </c>
      <c r="E66" s="59">
        <f t="shared" ref="E66:N66" si="27">D65</f>
        <v>-677.37560319999989</v>
      </c>
      <c r="F66" s="59">
        <f t="shared" si="27"/>
        <v>-677.37560319999989</v>
      </c>
      <c r="G66" s="59">
        <f t="shared" si="27"/>
        <v>-677.37560319999989</v>
      </c>
      <c r="H66" s="59">
        <f t="shared" si="27"/>
        <v>-677.37560319999989</v>
      </c>
      <c r="I66" s="59">
        <f t="shared" si="27"/>
        <v>-677.37560319999989</v>
      </c>
      <c r="J66" s="59">
        <f t="shared" si="27"/>
        <v>-677.37560319999989</v>
      </c>
      <c r="K66" s="59">
        <f t="shared" si="27"/>
        <v>-677.37560319999989</v>
      </c>
      <c r="L66" s="59">
        <f t="shared" si="27"/>
        <v>-677.37560319999989</v>
      </c>
      <c r="M66" s="59">
        <f t="shared" si="27"/>
        <v>-677.37560319999989</v>
      </c>
      <c r="N66" s="59">
        <f t="shared" si="27"/>
        <v>-677.37560319999989</v>
      </c>
      <c r="O66" s="60" t="s">
        <v>119</v>
      </c>
      <c r="P66" s="61">
        <f>N65</f>
        <v>-677.37560319999989</v>
      </c>
    </row>
    <row r="69" spans="2:16" x14ac:dyDescent="0.25">
      <c r="B69" s="36" t="s">
        <v>120</v>
      </c>
      <c r="C69" s="36"/>
      <c r="D69" s="36"/>
      <c r="E69" s="36"/>
      <c r="F69" s="36"/>
      <c r="G69" s="36"/>
      <c r="H69" s="36"/>
      <c r="I69" s="36"/>
      <c r="J69" s="36"/>
      <c r="K69" s="36"/>
      <c r="L69" s="36"/>
      <c r="M69" s="36"/>
      <c r="N69" s="36"/>
      <c r="O69" s="36"/>
      <c r="P69" s="36"/>
    </row>
    <row r="70" spans="2:16" x14ac:dyDescent="0.25">
      <c r="B70" s="213"/>
      <c r="C70" s="215" t="s">
        <v>50</v>
      </c>
      <c r="D70" s="215" t="s">
        <v>51</v>
      </c>
      <c r="E70" s="215" t="s">
        <v>52</v>
      </c>
      <c r="F70" s="215" t="s">
        <v>53</v>
      </c>
      <c r="G70" s="215" t="s">
        <v>54</v>
      </c>
      <c r="H70" s="215" t="s">
        <v>55</v>
      </c>
      <c r="I70" s="215" t="s">
        <v>56</v>
      </c>
      <c r="J70" s="215" t="s">
        <v>57</v>
      </c>
      <c r="K70" s="215" t="s">
        <v>58</v>
      </c>
      <c r="L70" s="215" t="s">
        <v>59</v>
      </c>
      <c r="M70" s="215" t="s">
        <v>60</v>
      </c>
      <c r="N70" s="215" t="s">
        <v>61</v>
      </c>
      <c r="O70" s="220" t="s">
        <v>62</v>
      </c>
      <c r="P70" s="221"/>
    </row>
    <row r="71" spans="2:16" x14ac:dyDescent="0.25">
      <c r="B71" s="214"/>
      <c r="C71" s="216"/>
      <c r="D71" s="216"/>
      <c r="E71" s="216"/>
      <c r="F71" s="216"/>
      <c r="G71" s="216"/>
      <c r="H71" s="216"/>
      <c r="I71" s="216"/>
      <c r="J71" s="216"/>
      <c r="K71" s="216"/>
      <c r="L71" s="216"/>
      <c r="M71" s="216"/>
      <c r="N71" s="216"/>
      <c r="O71" s="58" t="s">
        <v>64</v>
      </c>
      <c r="P71" s="58" t="s">
        <v>65</v>
      </c>
    </row>
    <row r="72" spans="2:16" x14ac:dyDescent="0.25">
      <c r="B72" s="35" t="s">
        <v>121</v>
      </c>
      <c r="C72" s="35">
        <f>C8</f>
        <v>6491.4720000000007</v>
      </c>
      <c r="D72" s="35">
        <f t="shared" ref="D72:N72" si="28">D8</f>
        <v>6751.1308799999997</v>
      </c>
      <c r="E72" s="35">
        <f t="shared" si="28"/>
        <v>6751.1308799999997</v>
      </c>
      <c r="F72" s="35">
        <f t="shared" si="28"/>
        <v>6751.1308799999997</v>
      </c>
      <c r="G72" s="35">
        <f t="shared" si="28"/>
        <v>6751.1308799999997</v>
      </c>
      <c r="H72" s="35">
        <f t="shared" si="28"/>
        <v>6751.1308799999997</v>
      </c>
      <c r="I72" s="35">
        <f t="shared" si="28"/>
        <v>6751.1308799999997</v>
      </c>
      <c r="J72" s="43">
        <f t="shared" si="28"/>
        <v>6751.1308799999997</v>
      </c>
      <c r="K72" s="35">
        <f t="shared" si="28"/>
        <v>6751.1308799999997</v>
      </c>
      <c r="L72" s="35">
        <f t="shared" si="28"/>
        <v>6751.1308799999997</v>
      </c>
      <c r="M72" s="35">
        <f t="shared" si="28"/>
        <v>6751.1308799999997</v>
      </c>
      <c r="N72" s="35">
        <f t="shared" si="28"/>
        <v>6751.1308799999997</v>
      </c>
      <c r="O72" s="34"/>
      <c r="P72" s="34"/>
    </row>
    <row r="73" spans="2:16" x14ac:dyDescent="0.25">
      <c r="B73" s="34" t="s">
        <v>122</v>
      </c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  <c r="O73" s="34"/>
      <c r="P73" s="34"/>
    </row>
    <row r="74" spans="2:16" x14ac:dyDescent="0.25">
      <c r="B74" s="34" t="s">
        <v>123</v>
      </c>
      <c r="C74" s="34">
        <f>C73+C72</f>
        <v>6491.4720000000007</v>
      </c>
      <c r="D74" s="34">
        <f t="shared" ref="D74:N74" si="29">D73+D72</f>
        <v>6751.1308799999997</v>
      </c>
      <c r="E74" s="34">
        <f t="shared" si="29"/>
        <v>6751.1308799999997</v>
      </c>
      <c r="F74" s="34">
        <f t="shared" si="29"/>
        <v>6751.1308799999997</v>
      </c>
      <c r="G74" s="34">
        <f t="shared" si="29"/>
        <v>6751.1308799999997</v>
      </c>
      <c r="H74" s="34">
        <f t="shared" si="29"/>
        <v>6751.1308799999997</v>
      </c>
      <c r="I74" s="34">
        <f t="shared" si="29"/>
        <v>6751.1308799999997</v>
      </c>
      <c r="J74" s="34">
        <f t="shared" si="29"/>
        <v>6751.1308799999997</v>
      </c>
      <c r="K74" s="34">
        <f t="shared" si="29"/>
        <v>6751.1308799999997</v>
      </c>
      <c r="L74" s="34">
        <f t="shared" si="29"/>
        <v>6751.1308799999997</v>
      </c>
      <c r="M74" s="34">
        <f t="shared" si="29"/>
        <v>6751.1308799999997</v>
      </c>
      <c r="N74" s="34">
        <f t="shared" si="29"/>
        <v>6751.1308799999997</v>
      </c>
      <c r="O74" s="34"/>
      <c r="P74" s="34"/>
    </row>
    <row r="75" spans="2:16" x14ac:dyDescent="0.25">
      <c r="B75" s="59" t="s">
        <v>124</v>
      </c>
      <c r="C75" s="59">
        <f>C17</f>
        <v>2295.3844991999999</v>
      </c>
      <c r="D75" s="59">
        <f t="shared" ref="D75:N75" si="30">D17</f>
        <v>2295.3844991999999</v>
      </c>
      <c r="E75" s="59">
        <f t="shared" si="30"/>
        <v>2295.3844991999999</v>
      </c>
      <c r="F75" s="59">
        <f t="shared" si="30"/>
        <v>2295.3844991999999</v>
      </c>
      <c r="G75" s="59">
        <f t="shared" si="30"/>
        <v>2295.3844991999999</v>
      </c>
      <c r="H75" s="59">
        <f t="shared" si="30"/>
        <v>2295.3844991999999</v>
      </c>
      <c r="I75" s="59">
        <f t="shared" si="30"/>
        <v>2295.3844991999999</v>
      </c>
      <c r="J75" s="59">
        <f t="shared" si="30"/>
        <v>2295.3844991999999</v>
      </c>
      <c r="K75" s="59">
        <f t="shared" si="30"/>
        <v>2295.3844991999999</v>
      </c>
      <c r="L75" s="59">
        <f t="shared" si="30"/>
        <v>2295.3844991999999</v>
      </c>
      <c r="M75" s="59">
        <f t="shared" si="30"/>
        <v>2295.3844991999999</v>
      </c>
      <c r="N75" s="59">
        <f t="shared" si="30"/>
        <v>2295.3844991999999</v>
      </c>
      <c r="O75" s="34"/>
      <c r="P75" s="34"/>
    </row>
    <row r="76" spans="2:16" x14ac:dyDescent="0.25">
      <c r="B76" s="39" t="s">
        <v>125</v>
      </c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41"/>
      <c r="O76" s="34"/>
      <c r="P76" s="34"/>
    </row>
    <row r="77" spans="2:16" x14ac:dyDescent="0.25">
      <c r="B77" s="39" t="s">
        <v>126</v>
      </c>
      <c r="C77" s="41">
        <f>C33</f>
        <v>25625</v>
      </c>
      <c r="D77" s="41">
        <f t="shared" ref="D77:N77" si="31">D33</f>
        <v>25625</v>
      </c>
      <c r="E77" s="41">
        <f t="shared" si="31"/>
        <v>25625</v>
      </c>
      <c r="F77" s="41">
        <f t="shared" si="31"/>
        <v>25625</v>
      </c>
      <c r="G77" s="41">
        <f t="shared" si="31"/>
        <v>25625</v>
      </c>
      <c r="H77" s="41">
        <f t="shared" si="31"/>
        <v>25625</v>
      </c>
      <c r="I77" s="41">
        <f t="shared" si="31"/>
        <v>25625</v>
      </c>
      <c r="J77" s="41">
        <f t="shared" si="31"/>
        <v>25625</v>
      </c>
      <c r="K77" s="41">
        <f t="shared" si="31"/>
        <v>25625</v>
      </c>
      <c r="L77" s="41">
        <f t="shared" si="31"/>
        <v>25625</v>
      </c>
      <c r="M77" s="41">
        <f t="shared" si="31"/>
        <v>25625</v>
      </c>
      <c r="N77" s="41">
        <f t="shared" si="31"/>
        <v>25625</v>
      </c>
      <c r="O77" s="34"/>
      <c r="P77" s="34"/>
    </row>
    <row r="78" spans="2:16" x14ac:dyDescent="0.25">
      <c r="B78" s="35" t="s">
        <v>21</v>
      </c>
      <c r="C78" s="35">
        <f>C35</f>
        <v>10250</v>
      </c>
      <c r="D78" s="35">
        <f t="shared" ref="D78:N78" si="32">D35</f>
        <v>10250</v>
      </c>
      <c r="E78" s="35">
        <f t="shared" si="32"/>
        <v>10250</v>
      </c>
      <c r="F78" s="35">
        <f t="shared" si="32"/>
        <v>10250</v>
      </c>
      <c r="G78" s="35">
        <f t="shared" si="32"/>
        <v>10250</v>
      </c>
      <c r="H78" s="35">
        <f t="shared" si="32"/>
        <v>10250</v>
      </c>
      <c r="I78" s="35">
        <f t="shared" si="32"/>
        <v>10250</v>
      </c>
      <c r="J78" s="35">
        <f t="shared" si="32"/>
        <v>10250</v>
      </c>
      <c r="K78" s="35">
        <f t="shared" si="32"/>
        <v>10250</v>
      </c>
      <c r="L78" s="35">
        <f t="shared" si="32"/>
        <v>10250</v>
      </c>
      <c r="M78" s="35">
        <f t="shared" si="32"/>
        <v>10250</v>
      </c>
      <c r="N78" s="35">
        <f t="shared" si="32"/>
        <v>10250</v>
      </c>
      <c r="O78" s="34"/>
      <c r="P78" s="34"/>
    </row>
    <row r="79" spans="2:16" x14ac:dyDescent="0.25">
      <c r="B79" s="34" t="s">
        <v>102</v>
      </c>
      <c r="C79" s="34">
        <f t="shared" ref="C79:N79" si="33">C42</f>
        <v>0</v>
      </c>
      <c r="D79" s="34">
        <f t="shared" si="33"/>
        <v>0</v>
      </c>
      <c r="E79" s="34">
        <f t="shared" si="33"/>
        <v>0</v>
      </c>
      <c r="F79" s="34">
        <f t="shared" si="33"/>
        <v>0</v>
      </c>
      <c r="G79" s="34">
        <f t="shared" si="33"/>
        <v>0</v>
      </c>
      <c r="H79" s="34">
        <f t="shared" si="33"/>
        <v>0</v>
      </c>
      <c r="I79" s="34">
        <f t="shared" si="33"/>
        <v>0</v>
      </c>
      <c r="J79" s="34">
        <f t="shared" si="33"/>
        <v>0</v>
      </c>
      <c r="K79" s="34">
        <f t="shared" si="33"/>
        <v>0</v>
      </c>
      <c r="L79" s="34">
        <f t="shared" si="33"/>
        <v>8200</v>
      </c>
      <c r="M79" s="34">
        <f t="shared" si="33"/>
        <v>0</v>
      </c>
      <c r="N79" s="34">
        <f t="shared" si="33"/>
        <v>0</v>
      </c>
      <c r="O79" s="34"/>
      <c r="P79" s="34"/>
    </row>
    <row r="80" spans="2:16" x14ac:dyDescent="0.25">
      <c r="B80" s="34" t="s">
        <v>127</v>
      </c>
      <c r="C80" s="34">
        <f>C26</f>
        <v>8520</v>
      </c>
      <c r="D80" s="34">
        <f t="shared" ref="D80:N80" si="34">D26</f>
        <v>8520</v>
      </c>
      <c r="E80" s="34">
        <f t="shared" si="34"/>
        <v>8520</v>
      </c>
      <c r="F80" s="34">
        <f t="shared" si="34"/>
        <v>8520</v>
      </c>
      <c r="G80" s="34">
        <f t="shared" si="34"/>
        <v>8520</v>
      </c>
      <c r="H80" s="34">
        <f t="shared" si="34"/>
        <v>8520</v>
      </c>
      <c r="I80" s="34">
        <f t="shared" si="34"/>
        <v>8520</v>
      </c>
      <c r="J80" s="34">
        <f t="shared" si="34"/>
        <v>8520</v>
      </c>
      <c r="K80" s="34">
        <f t="shared" si="34"/>
        <v>8520</v>
      </c>
      <c r="L80" s="34">
        <f t="shared" si="34"/>
        <v>8520</v>
      </c>
      <c r="M80" s="34">
        <f t="shared" si="34"/>
        <v>8520</v>
      </c>
      <c r="N80" s="34">
        <f t="shared" si="34"/>
        <v>8520</v>
      </c>
      <c r="O80" s="34"/>
      <c r="P80" s="34"/>
    </row>
    <row r="81" spans="2:16" x14ac:dyDescent="0.25">
      <c r="B81" s="59" t="s">
        <v>128</v>
      </c>
      <c r="C81" s="59">
        <f t="shared" ref="C81:N81" si="35">C45</f>
        <v>2675</v>
      </c>
      <c r="D81" s="59">
        <f t="shared" si="35"/>
        <v>2675</v>
      </c>
      <c r="E81" s="59">
        <f t="shared" si="35"/>
        <v>2675</v>
      </c>
      <c r="F81" s="59">
        <f t="shared" si="35"/>
        <v>2675</v>
      </c>
      <c r="G81" s="59">
        <f t="shared" si="35"/>
        <v>2675</v>
      </c>
      <c r="H81" s="59">
        <f t="shared" si="35"/>
        <v>2675</v>
      </c>
      <c r="I81" s="59">
        <f t="shared" si="35"/>
        <v>2675</v>
      </c>
      <c r="J81" s="59">
        <f t="shared" si="35"/>
        <v>2675</v>
      </c>
      <c r="K81" s="59">
        <f t="shared" si="35"/>
        <v>2675</v>
      </c>
      <c r="L81" s="59">
        <f t="shared" si="35"/>
        <v>2675</v>
      </c>
      <c r="M81" s="59">
        <f t="shared" si="35"/>
        <v>2675</v>
      </c>
      <c r="N81" s="59">
        <f t="shared" si="35"/>
        <v>2675</v>
      </c>
      <c r="O81" s="34"/>
      <c r="P81" s="34"/>
    </row>
    <row r="82" spans="2:16" x14ac:dyDescent="0.25">
      <c r="B82" s="38" t="s">
        <v>129</v>
      </c>
      <c r="C82" s="40">
        <f>C53</f>
        <v>26880</v>
      </c>
      <c r="D82" s="40">
        <f t="shared" ref="D82:N82" si="36">D53</f>
        <v>0</v>
      </c>
      <c r="E82" s="40">
        <f t="shared" si="36"/>
        <v>0</v>
      </c>
      <c r="F82" s="40">
        <f t="shared" si="36"/>
        <v>0</v>
      </c>
      <c r="G82" s="40">
        <f t="shared" si="36"/>
        <v>0</v>
      </c>
      <c r="H82" s="40">
        <f>H53</f>
        <v>0</v>
      </c>
      <c r="I82" s="40">
        <f t="shared" si="36"/>
        <v>0</v>
      </c>
      <c r="J82" s="40">
        <f t="shared" si="36"/>
        <v>0</v>
      </c>
      <c r="K82" s="40">
        <f t="shared" si="36"/>
        <v>0</v>
      </c>
      <c r="L82" s="40">
        <f t="shared" si="36"/>
        <v>0</v>
      </c>
      <c r="M82" s="40">
        <f t="shared" si="36"/>
        <v>0</v>
      </c>
      <c r="N82" s="40">
        <f t="shared" si="36"/>
        <v>0</v>
      </c>
      <c r="O82" s="34"/>
      <c r="P82" s="34"/>
    </row>
    <row r="83" spans="2:16" x14ac:dyDescent="0.25">
      <c r="B83" s="38" t="s">
        <v>130</v>
      </c>
      <c r="C83" s="40">
        <f t="shared" ref="C83:N83" si="37">C66</f>
        <v>-684.2998399999999</v>
      </c>
      <c r="D83" s="40">
        <f t="shared" si="37"/>
        <v>-5157.3756032000001</v>
      </c>
      <c r="E83" s="40">
        <f t="shared" si="37"/>
        <v>-677.37560319999989</v>
      </c>
      <c r="F83" s="40">
        <f t="shared" si="37"/>
        <v>-677.37560319999989</v>
      </c>
      <c r="G83" s="40">
        <f t="shared" si="37"/>
        <v>-677.37560319999989</v>
      </c>
      <c r="H83" s="40">
        <f t="shared" si="37"/>
        <v>-677.37560319999989</v>
      </c>
      <c r="I83" s="40">
        <f t="shared" si="37"/>
        <v>-677.37560319999989</v>
      </c>
      <c r="J83" s="40">
        <f t="shared" si="37"/>
        <v>-677.37560319999989</v>
      </c>
      <c r="K83" s="40">
        <f t="shared" si="37"/>
        <v>-677.37560319999989</v>
      </c>
      <c r="L83" s="40">
        <f t="shared" si="37"/>
        <v>-677.37560319999989</v>
      </c>
      <c r="M83" s="40">
        <f t="shared" si="37"/>
        <v>-677.37560319999989</v>
      </c>
      <c r="N83" s="40">
        <f t="shared" si="37"/>
        <v>-677.37560319999989</v>
      </c>
      <c r="O83" s="34"/>
      <c r="P83" s="34"/>
    </row>
    <row r="84" spans="2:16" x14ac:dyDescent="0.25">
      <c r="B84" s="59" t="s">
        <v>131</v>
      </c>
      <c r="C84" s="59">
        <f>SUM(C75:C83)</f>
        <v>75561.084659200002</v>
      </c>
      <c r="D84" s="59">
        <f t="shared" ref="D84:N84" si="38">SUM(D75:D83)</f>
        <v>44208.008895999999</v>
      </c>
      <c r="E84" s="59">
        <f t="shared" si="38"/>
        <v>48688.008895999999</v>
      </c>
      <c r="F84" s="59">
        <f t="shared" si="38"/>
        <v>48688.008895999999</v>
      </c>
      <c r="G84" s="59">
        <f t="shared" si="38"/>
        <v>48688.008895999999</v>
      </c>
      <c r="H84" s="59">
        <f t="shared" si="38"/>
        <v>48688.008895999999</v>
      </c>
      <c r="I84" s="59">
        <f t="shared" si="38"/>
        <v>48688.008895999999</v>
      </c>
      <c r="J84" s="59">
        <f t="shared" si="38"/>
        <v>48688.008895999999</v>
      </c>
      <c r="K84" s="59">
        <f t="shared" si="38"/>
        <v>48688.008895999999</v>
      </c>
      <c r="L84" s="59">
        <f t="shared" si="38"/>
        <v>56888.008895999999</v>
      </c>
      <c r="M84" s="59">
        <f t="shared" si="38"/>
        <v>48688.008895999999</v>
      </c>
      <c r="N84" s="59">
        <f t="shared" si="38"/>
        <v>48688.008895999999</v>
      </c>
      <c r="O84" s="34"/>
      <c r="P84" s="34"/>
    </row>
    <row r="85" spans="2:16" x14ac:dyDescent="0.25">
      <c r="B85" s="59" t="s">
        <v>132</v>
      </c>
      <c r="C85" s="59">
        <f>'Bilan et CDR N+2'!I14</f>
        <v>-1036466.9622399994</v>
      </c>
      <c r="D85" s="59">
        <f>C87</f>
        <v>-1105536.5748991994</v>
      </c>
      <c r="E85" s="59">
        <f t="shared" ref="E85:N85" si="39">D87</f>
        <v>-1142993.4529151993</v>
      </c>
      <c r="F85" s="59">
        <f t="shared" si="39"/>
        <v>-1184930.3309311992</v>
      </c>
      <c r="G85" s="59">
        <f t="shared" si="39"/>
        <v>-1226867.2089471992</v>
      </c>
      <c r="H85" s="59">
        <f t="shared" si="39"/>
        <v>-1268804.0869631991</v>
      </c>
      <c r="I85" s="59">
        <f t="shared" si="39"/>
        <v>-1310740.964979199</v>
      </c>
      <c r="J85" s="59">
        <f t="shared" si="39"/>
        <v>-1352677.8429951989</v>
      </c>
      <c r="K85" s="59">
        <f t="shared" si="39"/>
        <v>-1394614.7210111988</v>
      </c>
      <c r="L85" s="59">
        <f t="shared" si="39"/>
        <v>-1436551.5990271987</v>
      </c>
      <c r="M85" s="59">
        <f t="shared" si="39"/>
        <v>-1486688.4770431987</v>
      </c>
      <c r="N85" s="59">
        <f t="shared" si="39"/>
        <v>-1528625.3550591986</v>
      </c>
      <c r="O85" s="34"/>
      <c r="P85" s="34"/>
    </row>
    <row r="86" spans="2:16" x14ac:dyDescent="0.25">
      <c r="B86" s="34" t="s">
        <v>133</v>
      </c>
      <c r="C86" s="34">
        <f t="shared" ref="C86:N86" si="40">C74-C84</f>
        <v>-69069.612659200007</v>
      </c>
      <c r="D86" s="34">
        <f t="shared" si="40"/>
        <v>-37456.878016000002</v>
      </c>
      <c r="E86" s="34">
        <f t="shared" si="40"/>
        <v>-41936.878016000002</v>
      </c>
      <c r="F86" s="34">
        <f t="shared" si="40"/>
        <v>-41936.878016000002</v>
      </c>
      <c r="G86" s="34">
        <f t="shared" si="40"/>
        <v>-41936.878016000002</v>
      </c>
      <c r="H86" s="34">
        <f t="shared" si="40"/>
        <v>-41936.878016000002</v>
      </c>
      <c r="I86" s="34">
        <f t="shared" si="40"/>
        <v>-41936.878016000002</v>
      </c>
      <c r="J86" s="34">
        <f t="shared" si="40"/>
        <v>-41936.878016000002</v>
      </c>
      <c r="K86" s="34">
        <f t="shared" si="40"/>
        <v>-41936.878016000002</v>
      </c>
      <c r="L86" s="34">
        <f t="shared" si="40"/>
        <v>-50136.878016000002</v>
      </c>
      <c r="M86" s="34">
        <f t="shared" si="40"/>
        <v>-41936.878016000002</v>
      </c>
      <c r="N86" s="34">
        <f t="shared" si="40"/>
        <v>-41936.878016000002</v>
      </c>
      <c r="O86" s="34"/>
      <c r="P86" s="34"/>
    </row>
    <row r="87" spans="2:16" x14ac:dyDescent="0.25">
      <c r="B87" s="59" t="s">
        <v>134</v>
      </c>
      <c r="C87" s="59">
        <f>C85+C86</f>
        <v>-1105536.5748991994</v>
      </c>
      <c r="D87" s="59">
        <f t="shared" ref="D87:N87" si="41">D85+D86</f>
        <v>-1142993.4529151993</v>
      </c>
      <c r="E87" s="59">
        <f t="shared" si="41"/>
        <v>-1184930.3309311992</v>
      </c>
      <c r="F87" s="59">
        <f t="shared" si="41"/>
        <v>-1226867.2089471992</v>
      </c>
      <c r="G87" s="59">
        <f t="shared" si="41"/>
        <v>-1268804.0869631991</v>
      </c>
      <c r="H87" s="59">
        <f t="shared" si="41"/>
        <v>-1310740.964979199</v>
      </c>
      <c r="I87" s="59">
        <f t="shared" si="41"/>
        <v>-1352677.8429951989</v>
      </c>
      <c r="J87" s="59">
        <f t="shared" si="41"/>
        <v>-1394614.7210111988</v>
      </c>
      <c r="K87" s="59">
        <f t="shared" si="41"/>
        <v>-1436551.5990271987</v>
      </c>
      <c r="L87" s="59">
        <f t="shared" si="41"/>
        <v>-1486688.4770431987</v>
      </c>
      <c r="M87" s="59">
        <f t="shared" si="41"/>
        <v>-1528625.3550591986</v>
      </c>
      <c r="N87" s="59">
        <f t="shared" si="41"/>
        <v>-1570562.2330751985</v>
      </c>
      <c r="O87" s="60" t="s">
        <v>164</v>
      </c>
      <c r="P87" s="61">
        <f>N87</f>
        <v>-1570562.2330751985</v>
      </c>
    </row>
  </sheetData>
  <mergeCells count="102">
    <mergeCell ref="O58:P58"/>
    <mergeCell ref="O70:P70"/>
    <mergeCell ref="O39:P39"/>
    <mergeCell ref="O49:P49"/>
    <mergeCell ref="N70:N71"/>
    <mergeCell ref="N58:N59"/>
    <mergeCell ref="B70:B71"/>
    <mergeCell ref="C70:C71"/>
    <mergeCell ref="D70:D71"/>
    <mergeCell ref="E70:E71"/>
    <mergeCell ref="F70:F71"/>
    <mergeCell ref="G70:G71"/>
    <mergeCell ref="H70:H71"/>
    <mergeCell ref="H58:H59"/>
    <mergeCell ref="I58:I59"/>
    <mergeCell ref="J58:J59"/>
    <mergeCell ref="K58:K59"/>
    <mergeCell ref="L58:L59"/>
    <mergeCell ref="M58:M59"/>
    <mergeCell ref="B58:B59"/>
    <mergeCell ref="I70:I71"/>
    <mergeCell ref="J70:J71"/>
    <mergeCell ref="K70:K71"/>
    <mergeCell ref="L70:L71"/>
    <mergeCell ref="M70:M71"/>
    <mergeCell ref="L49:L50"/>
    <mergeCell ref="M49:M50"/>
    <mergeCell ref="N49:N50"/>
    <mergeCell ref="N39:N40"/>
    <mergeCell ref="C58:C59"/>
    <mergeCell ref="D58:D59"/>
    <mergeCell ref="E58:E59"/>
    <mergeCell ref="F58:F59"/>
    <mergeCell ref="G58:G59"/>
    <mergeCell ref="G49:G50"/>
    <mergeCell ref="H49:H50"/>
    <mergeCell ref="I49:I50"/>
    <mergeCell ref="J49:J50"/>
    <mergeCell ref="K49:K50"/>
    <mergeCell ref="M39:M40"/>
    <mergeCell ref="B49:B50"/>
    <mergeCell ref="C49:C50"/>
    <mergeCell ref="D49:D50"/>
    <mergeCell ref="E49:E50"/>
    <mergeCell ref="F49:F50"/>
    <mergeCell ref="O21:P21"/>
    <mergeCell ref="B38:P38"/>
    <mergeCell ref="B39:B40"/>
    <mergeCell ref="C39:C40"/>
    <mergeCell ref="D39:D40"/>
    <mergeCell ref="E39:E40"/>
    <mergeCell ref="F39:F40"/>
    <mergeCell ref="G39:G40"/>
    <mergeCell ref="H39:H40"/>
    <mergeCell ref="I39:I40"/>
    <mergeCell ref="I21:I22"/>
    <mergeCell ref="J21:J22"/>
    <mergeCell ref="K21:K22"/>
    <mergeCell ref="L21:L22"/>
    <mergeCell ref="M21:M22"/>
    <mergeCell ref="N21:N22"/>
    <mergeCell ref="J39:J40"/>
    <mergeCell ref="K39:K40"/>
    <mergeCell ref="L39:L40"/>
    <mergeCell ref="B12:B13"/>
    <mergeCell ref="C12:C13"/>
    <mergeCell ref="D12:D13"/>
    <mergeCell ref="E12:E13"/>
    <mergeCell ref="F12:F13"/>
    <mergeCell ref="N12:N13"/>
    <mergeCell ref="O12:P12"/>
    <mergeCell ref="B20:P20"/>
    <mergeCell ref="B21:B22"/>
    <mergeCell ref="C21:C22"/>
    <mergeCell ref="D21:D22"/>
    <mergeCell ref="E21:E22"/>
    <mergeCell ref="F21:F22"/>
    <mergeCell ref="G21:G22"/>
    <mergeCell ref="H21:H22"/>
    <mergeCell ref="H12:H13"/>
    <mergeCell ref="I12:I13"/>
    <mergeCell ref="J12:J13"/>
    <mergeCell ref="K12:K13"/>
    <mergeCell ref="L12:L13"/>
    <mergeCell ref="M12:M13"/>
    <mergeCell ref="G12:G13"/>
    <mergeCell ref="B11:P11"/>
    <mergeCell ref="B2:P2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P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DA82E6-AAF2-4651-942F-27A29AB3576B}">
  <sheetPr codeName="Feuil8"/>
  <dimension ref="B4:K25"/>
  <sheetViews>
    <sheetView zoomScale="66" workbookViewId="0">
      <selection activeCell="B4" sqref="B4"/>
    </sheetView>
  </sheetViews>
  <sheetFormatPr baseColWidth="10" defaultColWidth="11.42578125" defaultRowHeight="15" x14ac:dyDescent="0.25"/>
  <cols>
    <col min="2" max="2" width="31.5703125" customWidth="1"/>
    <col min="3" max="3" width="10.5703125" bestFit="1" customWidth="1"/>
    <col min="4" max="4" width="11.42578125" bestFit="1" customWidth="1"/>
    <col min="5" max="5" width="14.42578125" customWidth="1"/>
    <col min="6" max="6" width="37.42578125" customWidth="1"/>
    <col min="7" max="7" width="15.85546875" customWidth="1"/>
    <col min="8" max="8" width="13.42578125" customWidth="1"/>
    <col min="9" max="9" width="11.140625" customWidth="1"/>
    <col min="10" max="10" width="41" customWidth="1"/>
    <col min="11" max="11" width="12.7109375" bestFit="1" customWidth="1"/>
    <col min="12" max="12" width="41.42578125" customWidth="1"/>
    <col min="13" max="13" width="15" customWidth="1"/>
  </cols>
  <sheetData>
    <row r="4" spans="2:11" ht="15" customHeight="1" x14ac:dyDescent="0.25">
      <c r="B4" s="269" t="s">
        <v>154</v>
      </c>
      <c r="C4" s="270"/>
      <c r="F4" s="272" t="s">
        <v>169</v>
      </c>
      <c r="G4" s="273"/>
      <c r="H4" s="273"/>
      <c r="I4" s="273"/>
      <c r="J4" s="273"/>
      <c r="K4" s="274"/>
    </row>
    <row r="5" spans="2:11" x14ac:dyDescent="0.25">
      <c r="B5" s="8" t="s">
        <v>1</v>
      </c>
      <c r="C5" s="9">
        <f>'N+3'!P5</f>
        <v>67511.308799999999</v>
      </c>
      <c r="F5" s="66" t="s">
        <v>2</v>
      </c>
      <c r="G5" s="67" t="s">
        <v>3</v>
      </c>
      <c r="H5" s="67" t="s">
        <v>4</v>
      </c>
      <c r="I5" s="67" t="s">
        <v>5</v>
      </c>
      <c r="J5" s="68" t="s">
        <v>6</v>
      </c>
      <c r="K5" s="69" t="s">
        <v>5</v>
      </c>
    </row>
    <row r="6" spans="2:11" x14ac:dyDescent="0.25">
      <c r="B6" s="8" t="s">
        <v>67</v>
      </c>
      <c r="C6" s="9">
        <v>0</v>
      </c>
      <c r="F6" s="70" t="s">
        <v>8</v>
      </c>
      <c r="G6" s="70">
        <f>SUM(G7:G10)</f>
        <v>275900</v>
      </c>
      <c r="H6" s="70">
        <f>SUM(H7:H8)</f>
        <v>77134.523809523816</v>
      </c>
      <c r="I6" s="70">
        <f>SUM(I7:I8)</f>
        <v>198765.47619047615</v>
      </c>
      <c r="J6" s="70" t="s">
        <v>9</v>
      </c>
      <c r="K6" s="71">
        <f>SUM(K7:K10)</f>
        <v>-1408640.2504015239</v>
      </c>
    </row>
    <row r="7" spans="2:11" ht="30" x14ac:dyDescent="0.25">
      <c r="B7" s="33" t="s">
        <v>10</v>
      </c>
      <c r="C7" s="49">
        <f>C5+C6</f>
        <v>67511.308799999999</v>
      </c>
      <c r="F7" s="18" t="s">
        <v>11</v>
      </c>
      <c r="G7" s="18">
        <f>'Bilan et CDR N+2'!G6</f>
        <v>176000</v>
      </c>
      <c r="H7" s="18">
        <f>'Bilan et CDR N+2'!H6+J25+'N+3'!N29</f>
        <v>27908.956386292837</v>
      </c>
      <c r="I7" s="18">
        <f>G7-H7</f>
        <v>148091.04361370715</v>
      </c>
      <c r="J7" s="18" t="s">
        <v>12</v>
      </c>
      <c r="K7" s="17">
        <v>50000</v>
      </c>
    </row>
    <row r="8" spans="2:11" x14ac:dyDescent="0.25">
      <c r="B8" s="8" t="s">
        <v>70</v>
      </c>
      <c r="C8" s="9">
        <f>'N+3'!P14</f>
        <v>22953.844991999998</v>
      </c>
      <c r="F8" s="18" t="s">
        <v>14</v>
      </c>
      <c r="G8" s="18">
        <f>'Bilan et CDR N+2'!G7+'N+3'!P51</f>
        <v>99900</v>
      </c>
      <c r="H8" s="18">
        <f>'Bilan et CDR N+2'!H7+I24+'N+3'!N28+'N+3'!N30</f>
        <v>49225.567423230983</v>
      </c>
      <c r="I8" s="18">
        <f>G8-H8</f>
        <v>50674.432576769017</v>
      </c>
      <c r="J8" s="18" t="s">
        <v>15</v>
      </c>
      <c r="K8" s="17">
        <v>5000</v>
      </c>
    </row>
    <row r="9" spans="2:11" x14ac:dyDescent="0.25">
      <c r="B9" s="8" t="s">
        <v>73</v>
      </c>
      <c r="C9" s="9">
        <f>'N+3'!P23</f>
        <v>85200</v>
      </c>
      <c r="F9" s="70"/>
      <c r="G9" s="70"/>
      <c r="H9" s="70"/>
      <c r="I9" s="70"/>
      <c r="J9" s="18" t="s">
        <v>17</v>
      </c>
      <c r="K9" s="17">
        <f>'Bilan et CDR N+2'!K8+'Bilan et CDR N+2'!K9</f>
        <v>-966583.42849523807</v>
      </c>
    </row>
    <row r="10" spans="2:11" ht="30" x14ac:dyDescent="0.25">
      <c r="B10" s="8" t="s">
        <v>18</v>
      </c>
      <c r="C10" s="9">
        <f>'N+3'!P41</f>
        <v>8200</v>
      </c>
      <c r="F10" s="18"/>
      <c r="G10" s="18"/>
      <c r="H10" s="18"/>
      <c r="I10" s="18"/>
      <c r="J10" s="18" t="s">
        <v>19</v>
      </c>
      <c r="K10" s="17">
        <f>C22</f>
        <v>-497056.82190628571</v>
      </c>
    </row>
    <row r="11" spans="2:11" x14ac:dyDescent="0.25">
      <c r="B11" s="8" t="s">
        <v>20</v>
      </c>
      <c r="C11" s="9">
        <f>'N+3'!P33</f>
        <v>307500</v>
      </c>
      <c r="F11" s="72"/>
      <c r="G11" s="73"/>
      <c r="H11" s="74"/>
      <c r="I11" s="73"/>
      <c r="J11" s="17"/>
      <c r="K11" s="71"/>
    </row>
    <row r="12" spans="2:11" x14ac:dyDescent="0.25">
      <c r="B12" s="8" t="s">
        <v>21</v>
      </c>
      <c r="C12" s="9">
        <f>'N+3'!P34</f>
        <v>123000</v>
      </c>
      <c r="F12" s="70" t="s">
        <v>22</v>
      </c>
      <c r="G12" s="70">
        <f>SUM(G13:G15)</f>
        <v>-1548811.1021951984</v>
      </c>
      <c r="H12" s="70">
        <f>SUM(H13:H15)</f>
        <v>0</v>
      </c>
      <c r="I12" s="70">
        <f>SUM(I13:I15)</f>
        <v>-1548811.1021951984</v>
      </c>
      <c r="J12" s="70" t="s">
        <v>23</v>
      </c>
      <c r="K12" s="71">
        <f>SUM(K13:K16)</f>
        <v>39572.624396799998</v>
      </c>
    </row>
    <row r="13" spans="2:11" ht="30" x14ac:dyDescent="0.25">
      <c r="B13" s="8" t="s">
        <v>75</v>
      </c>
      <c r="C13" s="9">
        <f>'N+3'!P31</f>
        <v>15614.285714285714</v>
      </c>
      <c r="F13" s="18" t="s">
        <v>25</v>
      </c>
      <c r="G13" s="18">
        <v>15000</v>
      </c>
      <c r="H13" s="18"/>
      <c r="I13" s="18">
        <f>G13-H13</f>
        <v>15000</v>
      </c>
      <c r="J13" s="18" t="s">
        <v>26</v>
      </c>
      <c r="K13" s="17">
        <f>Emprunt!G11</f>
        <v>30000</v>
      </c>
    </row>
    <row r="14" spans="2:11" x14ac:dyDescent="0.25">
      <c r="B14" s="33" t="s">
        <v>76</v>
      </c>
      <c r="C14" s="49">
        <f>SUM(C8:C13)</f>
        <v>562468.13070628571</v>
      </c>
      <c r="F14" s="18" t="s">
        <v>28</v>
      </c>
      <c r="G14" s="18">
        <f>'N+3'!P8</f>
        <v>6751.1308799999997</v>
      </c>
      <c r="H14" s="18"/>
      <c r="I14" s="18">
        <f t="shared" ref="I14:I15" si="0">G14-H14</f>
        <v>6751.1308799999997</v>
      </c>
      <c r="J14" s="18" t="s">
        <v>29</v>
      </c>
      <c r="K14" s="17">
        <v>0</v>
      </c>
    </row>
    <row r="15" spans="2:11" x14ac:dyDescent="0.25">
      <c r="B15" s="10" t="s">
        <v>30</v>
      </c>
      <c r="C15" s="16">
        <f>C7-C14</f>
        <v>-494956.82190628571</v>
      </c>
      <c r="F15" s="18" t="s">
        <v>34</v>
      </c>
      <c r="G15" s="18">
        <f>'N+3'!N87</f>
        <v>-1570562.2330751985</v>
      </c>
      <c r="H15" s="18"/>
      <c r="I15" s="18">
        <f t="shared" si="0"/>
        <v>-1570562.2330751985</v>
      </c>
      <c r="J15" s="18" t="s">
        <v>159</v>
      </c>
      <c r="K15" s="17">
        <f>'N+3'!P35+'N+3'!P66</f>
        <v>9572.6243967999999</v>
      </c>
    </row>
    <row r="16" spans="2:11" x14ac:dyDescent="0.25">
      <c r="B16" s="33" t="s">
        <v>33</v>
      </c>
      <c r="C16" s="49">
        <v>0</v>
      </c>
      <c r="F16" s="18"/>
      <c r="G16" s="18"/>
      <c r="H16" s="18"/>
      <c r="I16" s="18"/>
      <c r="J16" s="18"/>
      <c r="K16" s="17"/>
    </row>
    <row r="17" spans="2:11" x14ac:dyDescent="0.25">
      <c r="B17" s="8" t="s">
        <v>36</v>
      </c>
      <c r="C17" s="9">
        <f>'N+3'!P43</f>
        <v>2100</v>
      </c>
      <c r="F17" s="75" t="s">
        <v>38</v>
      </c>
      <c r="G17" s="75">
        <f>G6+G12</f>
        <v>-1272911.1021951984</v>
      </c>
      <c r="H17" s="75">
        <f>H6</f>
        <v>77134.523809523816</v>
      </c>
      <c r="I17" s="75">
        <f>G17-H17</f>
        <v>-1350045.6260047222</v>
      </c>
      <c r="J17" s="75" t="s">
        <v>39</v>
      </c>
      <c r="K17" s="76">
        <f>K6+K12</f>
        <v>-1369067.6260047238</v>
      </c>
    </row>
    <row r="18" spans="2:11" x14ac:dyDescent="0.25">
      <c r="B18" s="33" t="s">
        <v>37</v>
      </c>
      <c r="C18" s="49">
        <f>C17</f>
        <v>2100</v>
      </c>
      <c r="J18" s="7" t="s">
        <v>42</v>
      </c>
      <c r="K18" s="14">
        <f>I17-K17</f>
        <v>19022.00000000163</v>
      </c>
    </row>
    <row r="19" spans="2:11" x14ac:dyDescent="0.25">
      <c r="B19" s="10" t="s">
        <v>40</v>
      </c>
      <c r="C19" s="16">
        <f>C16-C18</f>
        <v>-2100</v>
      </c>
    </row>
    <row r="20" spans="2:11" x14ac:dyDescent="0.25">
      <c r="B20" s="10" t="s">
        <v>43</v>
      </c>
      <c r="C20" s="16">
        <f>C15-(-C19)</f>
        <v>-497056.82190628571</v>
      </c>
    </row>
    <row r="21" spans="2:11" x14ac:dyDescent="0.25">
      <c r="B21" s="10" t="s">
        <v>45</v>
      </c>
      <c r="C21" s="9"/>
      <c r="I21" t="s">
        <v>141</v>
      </c>
    </row>
    <row r="22" spans="2:11" x14ac:dyDescent="0.25">
      <c r="B22" s="77" t="s">
        <v>47</v>
      </c>
      <c r="C22" s="78">
        <f>C20</f>
        <v>-497056.82190628571</v>
      </c>
      <c r="G22" s="15"/>
      <c r="I22">
        <v>55</v>
      </c>
    </row>
    <row r="23" spans="2:11" x14ac:dyDescent="0.25">
      <c r="B23" s="79"/>
      <c r="C23" s="80"/>
      <c r="G23" s="15"/>
      <c r="J23">
        <v>159</v>
      </c>
    </row>
    <row r="24" spans="2:11" x14ac:dyDescent="0.25">
      <c r="I24" s="19">
        <f>I22/J24*7500</f>
        <v>1927.5700934579438</v>
      </c>
      <c r="J24">
        <v>214</v>
      </c>
    </row>
    <row r="25" spans="2:11" x14ac:dyDescent="0.25">
      <c r="J25" s="19">
        <f>J23/J24*7500</f>
        <v>5572.4299065420564</v>
      </c>
    </row>
  </sheetData>
  <mergeCells count="2">
    <mergeCell ref="F4:K4"/>
    <mergeCell ref="B4:C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9E81FB-09F1-4DF8-9DC7-8BD48CE31B10}">
  <sheetPr codeName="Feuil9">
    <tabColor theme="3" tint="0.499984740745262"/>
  </sheetPr>
  <dimension ref="A2:T34"/>
  <sheetViews>
    <sheetView showGridLines="0" zoomScale="62" zoomScaleNormal="92" workbookViewId="0">
      <selection activeCell="E23" sqref="E23"/>
    </sheetView>
  </sheetViews>
  <sheetFormatPr baseColWidth="10" defaultColWidth="9" defaultRowHeight="15" x14ac:dyDescent="0.25"/>
  <cols>
    <col min="1" max="1" width="14.7109375" style="20" customWidth="1"/>
    <col min="2" max="2" width="8.5703125" style="20" bestFit="1" customWidth="1"/>
    <col min="3" max="3" width="28.7109375" style="20" customWidth="1"/>
    <col min="4" max="4" width="16.28515625" style="20" customWidth="1"/>
    <col min="5" max="5" width="22.28515625" style="20" customWidth="1"/>
    <col min="6" max="6" width="22.85546875" style="20" customWidth="1"/>
    <col min="7" max="7" width="24.85546875" style="20" customWidth="1"/>
    <col min="8" max="8" width="16.42578125" style="20" customWidth="1"/>
    <col min="9" max="9" width="7.28515625" style="20" bestFit="1" customWidth="1"/>
    <col min="10" max="10" width="25.140625" style="20" customWidth="1"/>
    <col min="11" max="11" width="25.85546875" style="20" customWidth="1"/>
    <col min="12" max="12" width="18.7109375" style="20" customWidth="1"/>
    <col min="13" max="13" width="12.42578125" style="20" customWidth="1"/>
    <col min="14" max="14" width="9" style="20"/>
    <col min="15" max="15" width="19.5703125" style="20" customWidth="1"/>
    <col min="16" max="16" width="21.42578125" style="20" customWidth="1"/>
    <col min="17" max="19" width="20.140625" style="20" customWidth="1"/>
    <col min="20" max="20" width="11.5703125" style="20" bestFit="1" customWidth="1"/>
    <col min="21" max="16384" width="9" style="20"/>
  </cols>
  <sheetData>
    <row r="2" spans="1:20" x14ac:dyDescent="0.25">
      <c r="B2" s="181" t="s">
        <v>170</v>
      </c>
      <c r="C2" s="181" t="s">
        <v>171</v>
      </c>
      <c r="D2" s="181" t="s">
        <v>106</v>
      </c>
      <c r="E2" s="181" t="s">
        <v>172</v>
      </c>
      <c r="F2" s="181" t="s">
        <v>173</v>
      </c>
      <c r="G2" s="181" t="s">
        <v>174</v>
      </c>
      <c r="I2" s="275" t="s">
        <v>175</v>
      </c>
      <c r="J2" s="276"/>
      <c r="K2" s="276"/>
      <c r="L2" s="277"/>
      <c r="O2" s="275" t="s">
        <v>176</v>
      </c>
      <c r="P2" s="276"/>
      <c r="Q2" s="276"/>
      <c r="R2" s="276"/>
      <c r="S2" s="276"/>
      <c r="T2" s="277"/>
    </row>
    <row r="3" spans="1:20" x14ac:dyDescent="0.25">
      <c r="B3" s="21">
        <v>1</v>
      </c>
      <c r="C3" s="21">
        <v>300000</v>
      </c>
      <c r="D3" s="21">
        <f>C3*0.035</f>
        <v>10500.000000000002</v>
      </c>
      <c r="E3" s="21">
        <f t="shared" ref="E3:E12" si="0">300000/10</f>
        <v>30000</v>
      </c>
      <c r="F3" s="21">
        <f t="shared" ref="F3:F12" si="1">D3+E3</f>
        <v>40500</v>
      </c>
      <c r="G3" s="21">
        <f t="shared" ref="G3:G12" si="2">C3-E3</f>
        <v>270000</v>
      </c>
      <c r="I3" s="184" t="s">
        <v>177</v>
      </c>
      <c r="J3" s="184" t="s">
        <v>178</v>
      </c>
      <c r="K3" s="184" t="s">
        <v>179</v>
      </c>
      <c r="L3" s="184" t="s">
        <v>180</v>
      </c>
      <c r="O3" s="184" t="s">
        <v>177</v>
      </c>
      <c r="P3" s="184" t="s">
        <v>178</v>
      </c>
      <c r="Q3" s="184" t="s">
        <v>179</v>
      </c>
      <c r="R3" s="184" t="s">
        <v>181</v>
      </c>
      <c r="S3" s="184" t="s">
        <v>182</v>
      </c>
      <c r="T3" s="184" t="s">
        <v>183</v>
      </c>
    </row>
    <row r="4" spans="1:20" x14ac:dyDescent="0.25">
      <c r="B4" s="21">
        <v>2</v>
      </c>
      <c r="C4" s="21">
        <f t="shared" ref="C4:C12" si="3">G3</f>
        <v>270000</v>
      </c>
      <c r="D4" s="21">
        <f t="shared" ref="D4:D12" si="4">C4*0.035</f>
        <v>9450</v>
      </c>
      <c r="E4" s="21">
        <f t="shared" si="0"/>
        <v>30000</v>
      </c>
      <c r="F4" s="21">
        <f t="shared" si="1"/>
        <v>39450</v>
      </c>
      <c r="G4" s="21">
        <f t="shared" si="2"/>
        <v>240000</v>
      </c>
      <c r="I4" s="21">
        <v>1</v>
      </c>
      <c r="J4" s="21">
        <v>22500</v>
      </c>
      <c r="K4" s="21">
        <f t="shared" ref="K4:K10" si="5">J$4/7</f>
        <v>3214.2857142857142</v>
      </c>
      <c r="L4" s="21">
        <f t="shared" ref="L4:L10" si="6">J4-K4</f>
        <v>19285.714285714286</v>
      </c>
      <c r="O4" s="21">
        <v>1</v>
      </c>
      <c r="P4" s="21">
        <v>22500</v>
      </c>
      <c r="Q4" s="21">
        <f t="shared" ref="Q4:Q10" si="7">P$4/7</f>
        <v>3214.2857142857142</v>
      </c>
      <c r="R4" s="21">
        <f>P4-Q4</f>
        <v>19285.714285714286</v>
      </c>
      <c r="S4" s="21">
        <f>Q4*1.15</f>
        <v>3696.4285714285711</v>
      </c>
      <c r="T4" s="21"/>
    </row>
    <row r="5" spans="1:20" x14ac:dyDescent="0.25">
      <c r="B5" s="21">
        <v>3</v>
      </c>
      <c r="C5" s="21">
        <f t="shared" si="3"/>
        <v>240000</v>
      </c>
      <c r="D5" s="21">
        <f t="shared" si="4"/>
        <v>8400</v>
      </c>
      <c r="E5" s="21">
        <f t="shared" si="0"/>
        <v>30000</v>
      </c>
      <c r="F5" s="21">
        <f t="shared" si="1"/>
        <v>38400</v>
      </c>
      <c r="G5" s="21">
        <f t="shared" si="2"/>
        <v>210000</v>
      </c>
      <c r="I5" s="21">
        <v>2</v>
      </c>
      <c r="J5" s="21">
        <f t="shared" ref="J5:J10" si="8">L4</f>
        <v>19285.714285714286</v>
      </c>
      <c r="K5" s="21">
        <f t="shared" si="5"/>
        <v>3214.2857142857142</v>
      </c>
      <c r="L5" s="21">
        <f t="shared" si="6"/>
        <v>16071.428571428572</v>
      </c>
      <c r="O5" s="21">
        <v>2</v>
      </c>
      <c r="P5" s="21">
        <f t="shared" ref="P5:P10" si="9">R4</f>
        <v>19285.714285714286</v>
      </c>
      <c r="Q5" s="21">
        <f t="shared" si="7"/>
        <v>3214.2857142857142</v>
      </c>
      <c r="R5" s="21">
        <f t="shared" ref="R5:R10" si="10">P5-Q5</f>
        <v>16071.428571428572</v>
      </c>
      <c r="S5" s="21">
        <f t="shared" ref="S5:S8" si="11">Q5*1.15</f>
        <v>3696.4285714285711</v>
      </c>
      <c r="T5" s="21"/>
    </row>
    <row r="6" spans="1:20" x14ac:dyDescent="0.25">
      <c r="B6" s="21">
        <v>4</v>
      </c>
      <c r="C6" s="21">
        <f t="shared" si="3"/>
        <v>210000</v>
      </c>
      <c r="D6" s="21">
        <f t="shared" si="4"/>
        <v>7350.0000000000009</v>
      </c>
      <c r="E6" s="21">
        <f t="shared" si="0"/>
        <v>30000</v>
      </c>
      <c r="F6" s="21">
        <f t="shared" si="1"/>
        <v>37350</v>
      </c>
      <c r="G6" s="21">
        <f t="shared" si="2"/>
        <v>180000</v>
      </c>
      <c r="I6" s="21">
        <v>3</v>
      </c>
      <c r="J6" s="21">
        <f t="shared" si="8"/>
        <v>16071.428571428572</v>
      </c>
      <c r="K6" s="21">
        <f t="shared" si="5"/>
        <v>3214.2857142857142</v>
      </c>
      <c r="L6" s="21">
        <f t="shared" si="6"/>
        <v>12857.142857142859</v>
      </c>
      <c r="O6" s="21">
        <v>3</v>
      </c>
      <c r="P6" s="21">
        <f t="shared" si="9"/>
        <v>16071.428571428572</v>
      </c>
      <c r="Q6" s="21">
        <f t="shared" si="7"/>
        <v>3214.2857142857142</v>
      </c>
      <c r="R6" s="21">
        <f t="shared" si="10"/>
        <v>12857.142857142859</v>
      </c>
      <c r="S6" s="21">
        <f t="shared" si="11"/>
        <v>3696.4285714285711</v>
      </c>
      <c r="T6" s="21"/>
    </row>
    <row r="7" spans="1:20" x14ac:dyDescent="0.25">
      <c r="B7" s="21">
        <v>5</v>
      </c>
      <c r="C7" s="21">
        <f t="shared" si="3"/>
        <v>180000</v>
      </c>
      <c r="D7" s="21">
        <f t="shared" si="4"/>
        <v>6300.0000000000009</v>
      </c>
      <c r="E7" s="21">
        <f t="shared" si="0"/>
        <v>30000</v>
      </c>
      <c r="F7" s="21">
        <f t="shared" si="1"/>
        <v>36300</v>
      </c>
      <c r="G7" s="21">
        <f t="shared" si="2"/>
        <v>150000</v>
      </c>
      <c r="I7" s="21">
        <v>4</v>
      </c>
      <c r="J7" s="21">
        <f t="shared" si="8"/>
        <v>12857.142857142859</v>
      </c>
      <c r="K7" s="21">
        <f t="shared" si="5"/>
        <v>3214.2857142857142</v>
      </c>
      <c r="L7" s="21">
        <f t="shared" si="6"/>
        <v>9642.8571428571449</v>
      </c>
      <c r="O7" s="21">
        <v>4</v>
      </c>
      <c r="P7" s="21">
        <f t="shared" si="9"/>
        <v>12857.142857142859</v>
      </c>
      <c r="Q7" s="21">
        <f t="shared" si="7"/>
        <v>3214.2857142857142</v>
      </c>
      <c r="R7" s="21">
        <f t="shared" si="10"/>
        <v>9642.8571428571449</v>
      </c>
      <c r="S7" s="21">
        <f t="shared" si="11"/>
        <v>3696.4285714285711</v>
      </c>
      <c r="T7" s="21"/>
    </row>
    <row r="8" spans="1:20" x14ac:dyDescent="0.25">
      <c r="A8" s="185" t="s">
        <v>184</v>
      </c>
      <c r="B8" s="132">
        <v>6</v>
      </c>
      <c r="C8" s="21">
        <f t="shared" si="3"/>
        <v>150000</v>
      </c>
      <c r="D8" s="21">
        <f t="shared" si="4"/>
        <v>5250.0000000000009</v>
      </c>
      <c r="E8" s="21">
        <f t="shared" si="0"/>
        <v>30000</v>
      </c>
      <c r="F8" s="21">
        <f t="shared" si="1"/>
        <v>35250</v>
      </c>
      <c r="G8" s="21">
        <f t="shared" si="2"/>
        <v>120000</v>
      </c>
      <c r="I8" s="21">
        <v>5</v>
      </c>
      <c r="J8" s="21">
        <f t="shared" si="8"/>
        <v>9642.8571428571449</v>
      </c>
      <c r="K8" s="21">
        <f t="shared" si="5"/>
        <v>3214.2857142857142</v>
      </c>
      <c r="L8" s="21">
        <f t="shared" si="6"/>
        <v>6428.5714285714312</v>
      </c>
      <c r="O8" s="21">
        <v>5</v>
      </c>
      <c r="P8" s="21">
        <f t="shared" si="9"/>
        <v>9642.8571428571449</v>
      </c>
      <c r="Q8" s="21">
        <f t="shared" si="7"/>
        <v>3214.2857142857142</v>
      </c>
      <c r="R8" s="21">
        <f t="shared" si="10"/>
        <v>6428.5714285714312</v>
      </c>
      <c r="S8" s="21">
        <f t="shared" si="11"/>
        <v>3696.4285714285711</v>
      </c>
      <c r="T8" s="21">
        <f>R8</f>
        <v>6428.5714285714312</v>
      </c>
    </row>
    <row r="9" spans="1:20" x14ac:dyDescent="0.25">
      <c r="A9" s="185" t="s">
        <v>185</v>
      </c>
      <c r="B9" s="132">
        <v>7</v>
      </c>
      <c r="C9" s="21">
        <f t="shared" si="3"/>
        <v>120000</v>
      </c>
      <c r="D9" s="21">
        <f t="shared" si="4"/>
        <v>4200</v>
      </c>
      <c r="E9" s="21">
        <f t="shared" si="0"/>
        <v>30000</v>
      </c>
      <c r="F9" s="21">
        <f t="shared" si="1"/>
        <v>34200</v>
      </c>
      <c r="G9" s="21">
        <f t="shared" si="2"/>
        <v>90000</v>
      </c>
      <c r="I9" s="21">
        <v>6</v>
      </c>
      <c r="J9" s="21">
        <f t="shared" si="8"/>
        <v>6428.5714285714312</v>
      </c>
      <c r="K9" s="21">
        <f t="shared" si="5"/>
        <v>3214.2857142857142</v>
      </c>
      <c r="L9" s="21">
        <f t="shared" si="6"/>
        <v>3214.2857142857169</v>
      </c>
      <c r="O9" s="21">
        <v>6</v>
      </c>
      <c r="P9" s="21">
        <f t="shared" si="9"/>
        <v>6428.5714285714312</v>
      </c>
      <c r="Q9" s="21">
        <f t="shared" si="7"/>
        <v>3214.2857142857142</v>
      </c>
      <c r="R9" s="21">
        <f t="shared" si="10"/>
        <v>3214.2857142857169</v>
      </c>
      <c r="S9" s="21"/>
      <c r="T9" s="21"/>
    </row>
    <row r="10" spans="1:20" x14ac:dyDescent="0.25">
      <c r="A10" s="185" t="s">
        <v>186</v>
      </c>
      <c r="B10" s="132">
        <v>8</v>
      </c>
      <c r="C10" s="21">
        <f t="shared" si="3"/>
        <v>90000</v>
      </c>
      <c r="D10" s="21">
        <f t="shared" si="4"/>
        <v>3150.0000000000005</v>
      </c>
      <c r="E10" s="21">
        <f t="shared" si="0"/>
        <v>30000</v>
      </c>
      <c r="F10" s="21">
        <f t="shared" si="1"/>
        <v>33150</v>
      </c>
      <c r="G10" s="21">
        <f t="shared" si="2"/>
        <v>60000</v>
      </c>
      <c r="I10" s="21">
        <v>7</v>
      </c>
      <c r="J10" s="21">
        <f t="shared" si="8"/>
        <v>3214.2857142857169</v>
      </c>
      <c r="K10" s="21">
        <f t="shared" si="5"/>
        <v>3214.2857142857142</v>
      </c>
      <c r="L10" s="21">
        <f t="shared" si="6"/>
        <v>0</v>
      </c>
      <c r="O10" s="21">
        <v>7</v>
      </c>
      <c r="P10" s="21">
        <f t="shared" si="9"/>
        <v>3214.2857142857169</v>
      </c>
      <c r="Q10" s="21">
        <f t="shared" si="7"/>
        <v>3214.2857142857142</v>
      </c>
      <c r="R10" s="21">
        <f t="shared" si="10"/>
        <v>0</v>
      </c>
      <c r="S10" s="21"/>
      <c r="T10" s="21"/>
    </row>
    <row r="11" spans="1:20" x14ac:dyDescent="0.25">
      <c r="A11" s="185" t="s">
        <v>187</v>
      </c>
      <c r="B11" s="132">
        <v>9</v>
      </c>
      <c r="C11" s="21">
        <f t="shared" si="3"/>
        <v>60000</v>
      </c>
      <c r="D11" s="21">
        <f t="shared" si="4"/>
        <v>2100</v>
      </c>
      <c r="E11" s="21">
        <f t="shared" si="0"/>
        <v>30000</v>
      </c>
      <c r="F11" s="21">
        <f t="shared" si="1"/>
        <v>32100</v>
      </c>
      <c r="G11" s="21">
        <f t="shared" si="2"/>
        <v>30000</v>
      </c>
    </row>
    <row r="12" spans="1:20" x14ac:dyDescent="0.25">
      <c r="A12" s="185" t="s">
        <v>188</v>
      </c>
      <c r="B12" s="132">
        <v>10</v>
      </c>
      <c r="C12" s="21">
        <f t="shared" si="3"/>
        <v>30000</v>
      </c>
      <c r="D12" s="21">
        <f t="shared" si="4"/>
        <v>1050</v>
      </c>
      <c r="E12" s="21">
        <f t="shared" si="0"/>
        <v>30000</v>
      </c>
      <c r="F12" s="21">
        <f t="shared" si="1"/>
        <v>31050</v>
      </c>
      <c r="G12" s="21">
        <f t="shared" si="2"/>
        <v>0</v>
      </c>
      <c r="I12" s="275" t="s">
        <v>189</v>
      </c>
      <c r="J12" s="276"/>
      <c r="K12" s="276"/>
      <c r="L12" s="277"/>
      <c r="O12" s="275" t="s">
        <v>190</v>
      </c>
      <c r="P12" s="276"/>
      <c r="Q12" s="276"/>
      <c r="R12" s="276"/>
      <c r="S12" s="187"/>
      <c r="T12" s="187"/>
    </row>
    <row r="13" spans="1:20" x14ac:dyDescent="0.25">
      <c r="I13" s="184" t="s">
        <v>177</v>
      </c>
      <c r="J13" s="184" t="s">
        <v>178</v>
      </c>
      <c r="K13" s="184" t="s">
        <v>179</v>
      </c>
      <c r="L13" s="184" t="s">
        <v>180</v>
      </c>
      <c r="O13" s="184" t="s">
        <v>177</v>
      </c>
      <c r="P13" s="184" t="s">
        <v>178</v>
      </c>
      <c r="Q13" s="184" t="s">
        <v>179</v>
      </c>
      <c r="R13" s="184" t="s">
        <v>180</v>
      </c>
      <c r="S13" s="188" t="s">
        <v>182</v>
      </c>
      <c r="T13" s="188" t="s">
        <v>183</v>
      </c>
    </row>
    <row r="14" spans="1:20" x14ac:dyDescent="0.25">
      <c r="I14" s="21">
        <v>1</v>
      </c>
      <c r="J14" s="21">
        <v>17000</v>
      </c>
      <c r="K14" s="21">
        <f>J14/10*(7/12)</f>
        <v>991.66666666666674</v>
      </c>
      <c r="L14" s="21">
        <f t="shared" ref="L14:L24" si="12">J14-K14</f>
        <v>16008.333333333334</v>
      </c>
      <c r="O14" s="21">
        <v>1</v>
      </c>
      <c r="P14" s="21">
        <v>17000</v>
      </c>
      <c r="Q14" s="21">
        <f>P14/10*(7/12)</f>
        <v>991.66666666666674</v>
      </c>
      <c r="R14" s="21">
        <f t="shared" ref="R14:R24" si="13">P14-Q14</f>
        <v>16008.333333333334</v>
      </c>
      <c r="S14" s="21">
        <f>Q14*1.15</f>
        <v>1140.4166666666667</v>
      </c>
      <c r="T14" s="21"/>
    </row>
    <row r="15" spans="1:20" x14ac:dyDescent="0.25">
      <c r="C15" s="131" t="s">
        <v>191</v>
      </c>
      <c r="D15" s="21">
        <f>('Bilan et CDR N'!K14)/(('Bilan et CDR N'!C8+'Bilan et CDR N'!C9)*1.2)*360</f>
        <v>177.49244712990938</v>
      </c>
      <c r="I15" s="21">
        <v>2</v>
      </c>
      <c r="J15" s="21">
        <f t="shared" ref="J15:J24" si="14">L14</f>
        <v>16008.333333333334</v>
      </c>
      <c r="K15" s="21">
        <f>$J$14/10</f>
        <v>1700</v>
      </c>
      <c r="L15" s="21">
        <f t="shared" si="12"/>
        <v>14308.333333333334</v>
      </c>
      <c r="O15" s="21">
        <v>2</v>
      </c>
      <c r="P15" s="21">
        <f t="shared" ref="P15:P24" si="15">R14</f>
        <v>16008.333333333334</v>
      </c>
      <c r="Q15" s="21">
        <f>$J$14/10</f>
        <v>1700</v>
      </c>
      <c r="R15" s="21">
        <f t="shared" si="13"/>
        <v>14308.333333333334</v>
      </c>
      <c r="S15" s="21">
        <f t="shared" ref="S15:S20" si="16">Q15*1.15</f>
        <v>1954.9999999999998</v>
      </c>
      <c r="T15" s="21"/>
    </row>
    <row r="16" spans="1:20" x14ac:dyDescent="0.25">
      <c r="C16" s="131" t="s">
        <v>192</v>
      </c>
      <c r="D16" s="21">
        <f>('Bilan et CDR N'!I14+'Bilan et CDR N'!I15)/('Bilan et CDR N'!C5*1.2)*360</f>
        <v>382.2115384615384</v>
      </c>
      <c r="I16" s="21">
        <v>3</v>
      </c>
      <c r="J16" s="21">
        <f t="shared" si="14"/>
        <v>14308.333333333334</v>
      </c>
      <c r="K16" s="21">
        <f t="shared" ref="K16:K23" si="17">$J$14/10</f>
        <v>1700</v>
      </c>
      <c r="L16" s="21">
        <f t="shared" si="12"/>
        <v>12608.333333333334</v>
      </c>
      <c r="O16" s="21">
        <v>3</v>
      </c>
      <c r="P16" s="21">
        <f t="shared" si="15"/>
        <v>14308.333333333334</v>
      </c>
      <c r="Q16" s="21">
        <f t="shared" ref="Q16:Q23" si="18">$J$14/10</f>
        <v>1700</v>
      </c>
      <c r="R16" s="21">
        <f t="shared" si="13"/>
        <v>12608.333333333334</v>
      </c>
      <c r="S16" s="21">
        <f t="shared" si="16"/>
        <v>1954.9999999999998</v>
      </c>
      <c r="T16" s="21"/>
    </row>
    <row r="17" spans="4:20" x14ac:dyDescent="0.25">
      <c r="I17" s="21">
        <v>4</v>
      </c>
      <c r="J17" s="21">
        <f t="shared" si="14"/>
        <v>12608.333333333334</v>
      </c>
      <c r="K17" s="21">
        <f t="shared" si="17"/>
        <v>1700</v>
      </c>
      <c r="L17" s="21">
        <f t="shared" si="12"/>
        <v>10908.333333333334</v>
      </c>
      <c r="O17" s="21">
        <v>4</v>
      </c>
      <c r="P17" s="21">
        <f t="shared" si="15"/>
        <v>12608.333333333334</v>
      </c>
      <c r="Q17" s="21">
        <f t="shared" si="18"/>
        <v>1700</v>
      </c>
      <c r="R17" s="21">
        <f t="shared" si="13"/>
        <v>10908.333333333334</v>
      </c>
      <c r="S17" s="21">
        <f t="shared" si="16"/>
        <v>1954.9999999999998</v>
      </c>
      <c r="T17" s="21"/>
    </row>
    <row r="18" spans="4:20" x14ac:dyDescent="0.25">
      <c r="I18" s="21">
        <v>5</v>
      </c>
      <c r="J18" s="21">
        <f t="shared" si="14"/>
        <v>10908.333333333334</v>
      </c>
      <c r="K18" s="21">
        <f t="shared" si="17"/>
        <v>1700</v>
      </c>
      <c r="L18" s="21">
        <f t="shared" si="12"/>
        <v>9208.3333333333339</v>
      </c>
      <c r="O18" s="21">
        <v>5</v>
      </c>
      <c r="P18" s="21">
        <f t="shared" si="15"/>
        <v>10908.333333333334</v>
      </c>
      <c r="Q18" s="21">
        <f t="shared" si="18"/>
        <v>1700</v>
      </c>
      <c r="R18" s="21">
        <f t="shared" si="13"/>
        <v>9208.3333333333339</v>
      </c>
      <c r="S18" s="21">
        <f t="shared" si="16"/>
        <v>1954.9999999999998</v>
      </c>
      <c r="T18" s="21"/>
    </row>
    <row r="19" spans="4:20" x14ac:dyDescent="0.25">
      <c r="I19" s="21">
        <v>6</v>
      </c>
      <c r="J19" s="21">
        <f t="shared" si="14"/>
        <v>9208.3333333333339</v>
      </c>
      <c r="K19" s="21">
        <f t="shared" si="17"/>
        <v>1700</v>
      </c>
      <c r="L19" s="21">
        <f t="shared" si="12"/>
        <v>7508.3333333333339</v>
      </c>
      <c r="O19" s="21">
        <v>6</v>
      </c>
      <c r="P19" s="21">
        <f t="shared" si="15"/>
        <v>9208.3333333333339</v>
      </c>
      <c r="Q19" s="21">
        <f t="shared" si="18"/>
        <v>1700</v>
      </c>
      <c r="R19" s="21">
        <f t="shared" si="13"/>
        <v>7508.3333333333339</v>
      </c>
      <c r="S19" s="21">
        <f t="shared" si="16"/>
        <v>1954.9999999999998</v>
      </c>
      <c r="T19" s="21"/>
    </row>
    <row r="20" spans="4:20" x14ac:dyDescent="0.25">
      <c r="I20" s="21">
        <v>7</v>
      </c>
      <c r="J20" s="21">
        <f t="shared" si="14"/>
        <v>7508.3333333333339</v>
      </c>
      <c r="K20" s="21">
        <f t="shared" si="17"/>
        <v>1700</v>
      </c>
      <c r="L20" s="21">
        <f t="shared" si="12"/>
        <v>5808.3333333333339</v>
      </c>
      <c r="O20" s="21">
        <v>7</v>
      </c>
      <c r="P20" s="21">
        <f t="shared" si="15"/>
        <v>7508.3333333333339</v>
      </c>
      <c r="Q20" s="21">
        <f t="shared" si="18"/>
        <v>1700</v>
      </c>
      <c r="R20" s="21">
        <f t="shared" si="13"/>
        <v>5808.3333333333339</v>
      </c>
      <c r="S20" s="21">
        <f t="shared" si="16"/>
        <v>1954.9999999999998</v>
      </c>
      <c r="T20" s="21">
        <f>R20</f>
        <v>5808.3333333333339</v>
      </c>
    </row>
    <row r="21" spans="4:20" x14ac:dyDescent="0.25">
      <c r="I21" s="21">
        <v>8</v>
      </c>
      <c r="J21" s="21">
        <f t="shared" si="14"/>
        <v>5808.3333333333339</v>
      </c>
      <c r="K21" s="21">
        <f t="shared" si="17"/>
        <v>1700</v>
      </c>
      <c r="L21" s="21">
        <f t="shared" si="12"/>
        <v>4108.3333333333339</v>
      </c>
      <c r="O21" s="21">
        <v>8</v>
      </c>
      <c r="P21" s="21">
        <f t="shared" si="15"/>
        <v>5808.3333333333339</v>
      </c>
      <c r="Q21" s="21">
        <f t="shared" si="18"/>
        <v>1700</v>
      </c>
      <c r="R21" s="21">
        <f t="shared" si="13"/>
        <v>4108.3333333333339</v>
      </c>
      <c r="S21" s="21"/>
      <c r="T21" s="21"/>
    </row>
    <row r="22" spans="4:20" x14ac:dyDescent="0.25">
      <c r="I22" s="21">
        <v>9</v>
      </c>
      <c r="J22" s="21">
        <f t="shared" si="14"/>
        <v>4108.3333333333339</v>
      </c>
      <c r="K22" s="21">
        <f t="shared" si="17"/>
        <v>1700</v>
      </c>
      <c r="L22" s="21">
        <f t="shared" si="12"/>
        <v>2408.3333333333339</v>
      </c>
      <c r="O22" s="21">
        <v>9</v>
      </c>
      <c r="P22" s="21">
        <f t="shared" si="15"/>
        <v>4108.3333333333339</v>
      </c>
      <c r="Q22" s="21">
        <f t="shared" si="18"/>
        <v>1700</v>
      </c>
      <c r="R22" s="21">
        <f t="shared" si="13"/>
        <v>2408.3333333333339</v>
      </c>
      <c r="S22" s="21"/>
      <c r="T22" s="21"/>
    </row>
    <row r="23" spans="4:20" x14ac:dyDescent="0.25">
      <c r="D23" s="20">
        <f xml:space="preserve"> 100000*(3.8/100)</f>
        <v>3800</v>
      </c>
      <c r="I23" s="21">
        <v>10</v>
      </c>
      <c r="J23" s="21">
        <f t="shared" si="14"/>
        <v>2408.3333333333339</v>
      </c>
      <c r="K23" s="21">
        <f t="shared" si="17"/>
        <v>1700</v>
      </c>
      <c r="L23" s="21">
        <f t="shared" si="12"/>
        <v>708.33333333333394</v>
      </c>
      <c r="O23" s="21">
        <v>10</v>
      </c>
      <c r="P23" s="21">
        <f t="shared" si="15"/>
        <v>2408.3333333333339</v>
      </c>
      <c r="Q23" s="21">
        <f t="shared" si="18"/>
        <v>1700</v>
      </c>
      <c r="R23" s="21">
        <f t="shared" si="13"/>
        <v>708.33333333333394</v>
      </c>
      <c r="S23" s="21"/>
      <c r="T23" s="21"/>
    </row>
    <row r="24" spans="4:20" x14ac:dyDescent="0.25">
      <c r="D24" s="20">
        <f>100000/5</f>
        <v>20000</v>
      </c>
      <c r="I24" s="21">
        <v>11</v>
      </c>
      <c r="J24" s="21">
        <f t="shared" si="14"/>
        <v>708.33333333333394</v>
      </c>
      <c r="K24" s="21">
        <f>J14/10*(5/12)</f>
        <v>708.33333333333337</v>
      </c>
      <c r="L24" s="21">
        <f t="shared" si="12"/>
        <v>0</v>
      </c>
      <c r="O24" s="21">
        <v>11</v>
      </c>
      <c r="P24" s="21">
        <f t="shared" si="15"/>
        <v>708.33333333333394</v>
      </c>
      <c r="Q24" s="21">
        <f>P14/10*(5/12)</f>
        <v>708.33333333333337</v>
      </c>
      <c r="R24" s="21">
        <f t="shared" si="13"/>
        <v>0</v>
      </c>
      <c r="S24" s="21"/>
      <c r="T24" s="21"/>
    </row>
    <row r="26" spans="4:20" x14ac:dyDescent="0.25">
      <c r="I26" s="275" t="s">
        <v>193</v>
      </c>
      <c r="J26" s="276"/>
      <c r="K26" s="276"/>
      <c r="L26" s="277"/>
      <c r="O26" s="275" t="s">
        <v>194</v>
      </c>
      <c r="P26" s="276"/>
      <c r="Q26" s="276"/>
      <c r="R26" s="276"/>
      <c r="S26" s="189"/>
      <c r="T26" s="189"/>
    </row>
    <row r="27" spans="4:20" x14ac:dyDescent="0.25">
      <c r="I27" s="184" t="s">
        <v>177</v>
      </c>
      <c r="J27" s="184" t="s">
        <v>178</v>
      </c>
      <c r="K27" s="184" t="s">
        <v>179</v>
      </c>
      <c r="L27" s="184" t="s">
        <v>180</v>
      </c>
      <c r="O27" s="184" t="s">
        <v>177</v>
      </c>
      <c r="P27" s="184" t="s">
        <v>178</v>
      </c>
      <c r="Q27" s="184" t="s">
        <v>179</v>
      </c>
      <c r="R27" s="184" t="s">
        <v>180</v>
      </c>
      <c r="S27" s="188" t="s">
        <v>182</v>
      </c>
      <c r="T27" s="188" t="s">
        <v>183</v>
      </c>
    </row>
    <row r="28" spans="4:20" x14ac:dyDescent="0.25">
      <c r="I28" s="21">
        <v>1</v>
      </c>
      <c r="J28" s="21">
        <v>22400</v>
      </c>
      <c r="K28" s="21">
        <f>J28/7</f>
        <v>3200</v>
      </c>
      <c r="L28" s="21">
        <f t="shared" ref="L28:L34" si="19">+J28-K28</f>
        <v>19200</v>
      </c>
      <c r="O28" s="21">
        <v>1</v>
      </c>
      <c r="P28" s="21">
        <v>22400</v>
      </c>
      <c r="Q28" s="21">
        <f>P28/7</f>
        <v>3200</v>
      </c>
      <c r="R28" s="21">
        <f t="shared" ref="R28:R34" si="20">+P28-Q28</f>
        <v>19200</v>
      </c>
      <c r="S28" s="21">
        <f>Q28*1.15</f>
        <v>3679.9999999999995</v>
      </c>
      <c r="T28" s="21"/>
    </row>
    <row r="29" spans="4:20" x14ac:dyDescent="0.25">
      <c r="I29" s="21">
        <v>2</v>
      </c>
      <c r="J29" s="21">
        <f t="shared" ref="J29:J34" si="21">L28</f>
        <v>19200</v>
      </c>
      <c r="K29" s="21">
        <v>3200</v>
      </c>
      <c r="L29" s="21">
        <f t="shared" si="19"/>
        <v>16000</v>
      </c>
      <c r="O29" s="21">
        <v>2</v>
      </c>
      <c r="P29" s="21">
        <f t="shared" ref="P29:P34" si="22">R28</f>
        <v>19200</v>
      </c>
      <c r="Q29" s="21">
        <v>3200</v>
      </c>
      <c r="R29" s="21">
        <f t="shared" si="20"/>
        <v>16000</v>
      </c>
      <c r="S29" s="21">
        <f t="shared" ref="S29:S32" si="23">Q29*1.15</f>
        <v>3679.9999999999995</v>
      </c>
      <c r="T29" s="21"/>
    </row>
    <row r="30" spans="4:20" x14ac:dyDescent="0.25">
      <c r="I30" s="21">
        <v>3</v>
      </c>
      <c r="J30" s="21">
        <f t="shared" si="21"/>
        <v>16000</v>
      </c>
      <c r="K30" s="21">
        <v>3200</v>
      </c>
      <c r="L30" s="21">
        <f t="shared" si="19"/>
        <v>12800</v>
      </c>
      <c r="O30" s="21">
        <v>3</v>
      </c>
      <c r="P30" s="21">
        <f t="shared" si="22"/>
        <v>16000</v>
      </c>
      <c r="Q30" s="21">
        <v>3200</v>
      </c>
      <c r="R30" s="21">
        <f t="shared" si="20"/>
        <v>12800</v>
      </c>
      <c r="S30" s="21">
        <f t="shared" si="23"/>
        <v>3679.9999999999995</v>
      </c>
      <c r="T30" s="21"/>
    </row>
    <row r="31" spans="4:20" x14ac:dyDescent="0.25">
      <c r="I31" s="21">
        <v>4</v>
      </c>
      <c r="J31" s="21">
        <f t="shared" si="21"/>
        <v>12800</v>
      </c>
      <c r="K31" s="21">
        <v>3200</v>
      </c>
      <c r="L31" s="21">
        <f t="shared" si="19"/>
        <v>9600</v>
      </c>
      <c r="O31" s="21">
        <v>4</v>
      </c>
      <c r="P31" s="21">
        <f t="shared" si="22"/>
        <v>12800</v>
      </c>
      <c r="Q31" s="21">
        <v>3200</v>
      </c>
      <c r="R31" s="21">
        <f t="shared" si="20"/>
        <v>9600</v>
      </c>
      <c r="S31" s="21">
        <f t="shared" si="23"/>
        <v>3679.9999999999995</v>
      </c>
      <c r="T31" s="21"/>
    </row>
    <row r="32" spans="4:20" x14ac:dyDescent="0.25">
      <c r="I32" s="21">
        <v>5</v>
      </c>
      <c r="J32" s="21">
        <f t="shared" si="21"/>
        <v>9600</v>
      </c>
      <c r="K32" s="21">
        <v>3200</v>
      </c>
      <c r="L32" s="21">
        <f t="shared" si="19"/>
        <v>6400</v>
      </c>
      <c r="O32" s="21">
        <v>5</v>
      </c>
      <c r="P32" s="21">
        <f t="shared" si="22"/>
        <v>9600</v>
      </c>
      <c r="Q32" s="21">
        <v>3200</v>
      </c>
      <c r="R32" s="21">
        <f t="shared" si="20"/>
        <v>6400</v>
      </c>
      <c r="S32" s="21">
        <f t="shared" si="23"/>
        <v>3679.9999999999995</v>
      </c>
      <c r="T32" s="21">
        <f>R32</f>
        <v>6400</v>
      </c>
    </row>
    <row r="33" spans="9:20" x14ac:dyDescent="0.25">
      <c r="I33" s="21">
        <v>6</v>
      </c>
      <c r="J33" s="21">
        <f t="shared" si="21"/>
        <v>6400</v>
      </c>
      <c r="K33" s="21">
        <v>3200</v>
      </c>
      <c r="L33" s="21">
        <f t="shared" si="19"/>
        <v>3200</v>
      </c>
      <c r="O33" s="21">
        <v>6</v>
      </c>
      <c r="P33" s="21">
        <f t="shared" si="22"/>
        <v>6400</v>
      </c>
      <c r="Q33" s="21">
        <v>3200</v>
      </c>
      <c r="R33" s="21">
        <f t="shared" si="20"/>
        <v>3200</v>
      </c>
      <c r="S33" s="21"/>
      <c r="T33" s="21"/>
    </row>
    <row r="34" spans="9:20" x14ac:dyDescent="0.25">
      <c r="I34" s="21">
        <v>7</v>
      </c>
      <c r="J34" s="21">
        <f t="shared" si="21"/>
        <v>3200</v>
      </c>
      <c r="K34" s="21">
        <v>3200</v>
      </c>
      <c r="L34" s="21">
        <f t="shared" si="19"/>
        <v>0</v>
      </c>
      <c r="O34" s="21">
        <v>7</v>
      </c>
      <c r="P34" s="21">
        <f t="shared" si="22"/>
        <v>3200</v>
      </c>
      <c r="Q34" s="21">
        <v>3200</v>
      </c>
      <c r="R34" s="21">
        <f t="shared" si="20"/>
        <v>0</v>
      </c>
      <c r="S34" s="21"/>
      <c r="T34" s="21"/>
    </row>
  </sheetData>
  <mergeCells count="6">
    <mergeCell ref="I2:L2"/>
    <mergeCell ref="I26:L26"/>
    <mergeCell ref="I12:L12"/>
    <mergeCell ref="O2:T2"/>
    <mergeCell ref="O12:R12"/>
    <mergeCell ref="O26:R26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4CAB87-ABB7-4F1B-89D1-DEAC4C8224C4}">
  <sheetPr codeName="Feuil10">
    <tabColor theme="9" tint="0.79998168889431442"/>
  </sheetPr>
  <dimension ref="A2:AE30"/>
  <sheetViews>
    <sheetView showGridLines="0" zoomScale="69" workbookViewId="0">
      <selection activeCell="V16" sqref="V16"/>
    </sheetView>
  </sheetViews>
  <sheetFormatPr baseColWidth="10" defaultColWidth="10.7109375" defaultRowHeight="15" x14ac:dyDescent="0.25"/>
  <cols>
    <col min="1" max="2" width="10.7109375" style="20"/>
    <col min="3" max="3" width="24.140625" style="20" bestFit="1" customWidth="1"/>
    <col min="4" max="4" width="17" style="20" customWidth="1"/>
    <col min="5" max="5" width="16.7109375" style="20" bestFit="1" customWidth="1"/>
    <col min="6" max="6" width="15" style="20" customWidth="1"/>
    <col min="7" max="7" width="21.140625" style="20" bestFit="1" customWidth="1"/>
    <col min="8" max="10" width="10.7109375" style="20"/>
    <col min="11" max="11" width="24.140625" style="20" bestFit="1" customWidth="1"/>
    <col min="12" max="12" width="14.140625" style="20" customWidth="1"/>
    <col min="13" max="13" width="16.7109375" style="20" bestFit="1" customWidth="1"/>
    <col min="14" max="14" width="13.7109375" style="20" customWidth="1"/>
    <col min="15" max="15" width="21.140625" style="20" bestFit="1" customWidth="1"/>
    <col min="16" max="16384" width="10.7109375" style="20"/>
  </cols>
  <sheetData>
    <row r="2" spans="1:15" x14ac:dyDescent="0.25">
      <c r="A2" s="186" t="s">
        <v>195</v>
      </c>
      <c r="B2" s="279" t="s">
        <v>196</v>
      </c>
      <c r="C2" s="217"/>
      <c r="D2" s="217"/>
    </row>
    <row r="3" spans="1:15" x14ac:dyDescent="0.25">
      <c r="A3" s="186" t="s">
        <v>195</v>
      </c>
      <c r="B3" s="279" t="s">
        <v>197</v>
      </c>
      <c r="C3" s="217"/>
      <c r="D3" s="217"/>
    </row>
    <row r="4" spans="1:15" x14ac:dyDescent="0.25">
      <c r="A4" s="186"/>
    </row>
    <row r="5" spans="1:15" x14ac:dyDescent="0.25">
      <c r="B5" s="20" t="s">
        <v>198</v>
      </c>
      <c r="J5" s="278" t="s">
        <v>199</v>
      </c>
      <c r="K5" s="278"/>
      <c r="L5" s="278"/>
      <c r="M5" s="278"/>
      <c r="N5" s="278"/>
      <c r="O5" s="278"/>
    </row>
    <row r="6" spans="1:15" x14ac:dyDescent="0.25">
      <c r="B6" s="181"/>
      <c r="C6" s="181" t="s">
        <v>171</v>
      </c>
      <c r="D6" s="181" t="s">
        <v>106</v>
      </c>
      <c r="E6" s="181" t="s">
        <v>172</v>
      </c>
      <c r="F6" s="181" t="s">
        <v>173</v>
      </c>
      <c r="G6" s="181" t="s">
        <v>174</v>
      </c>
      <c r="J6" s="181"/>
      <c r="K6" s="181" t="s">
        <v>171</v>
      </c>
      <c r="L6" s="181" t="s">
        <v>106</v>
      </c>
      <c r="M6" s="181" t="s">
        <v>172</v>
      </c>
      <c r="N6" s="181" t="s">
        <v>173</v>
      </c>
      <c r="O6" s="181" t="s">
        <v>174</v>
      </c>
    </row>
    <row r="7" spans="1:15" x14ac:dyDescent="0.25">
      <c r="B7" s="21">
        <v>1</v>
      </c>
      <c r="C7" s="21">
        <v>300000</v>
      </c>
      <c r="D7" s="21">
        <f t="shared" ref="D7:D16" si="0">C7*0.035</f>
        <v>10500.000000000002</v>
      </c>
      <c r="E7" s="21">
        <f t="shared" ref="E7:E12" si="1">300000/10</f>
        <v>30000</v>
      </c>
      <c r="F7" s="21">
        <f t="shared" ref="F7:F16" si="2">D7+E7</f>
        <v>40500</v>
      </c>
      <c r="G7" s="21">
        <f t="shared" ref="G7:G16" si="3">C7-E7</f>
        <v>270000</v>
      </c>
      <c r="J7" s="21">
        <v>1</v>
      </c>
      <c r="K7" s="21">
        <v>300000</v>
      </c>
      <c r="L7" s="21">
        <f t="shared" ref="L7:L16" si="4">K7*0.035</f>
        <v>10500.000000000002</v>
      </c>
      <c r="M7" s="21">
        <f t="shared" ref="M7:M16" si="5">300000/10</f>
        <v>30000</v>
      </c>
      <c r="N7" s="21">
        <f t="shared" ref="N7:N16" si="6">L7+M7</f>
        <v>40500</v>
      </c>
      <c r="O7" s="21">
        <f t="shared" ref="O7:O16" si="7">K7-M7</f>
        <v>270000</v>
      </c>
    </row>
    <row r="8" spans="1:15" x14ac:dyDescent="0.25">
      <c r="B8" s="21">
        <v>2</v>
      </c>
      <c r="C8" s="21">
        <f t="shared" ref="C8:C16" si="8">G7</f>
        <v>270000</v>
      </c>
      <c r="D8" s="21">
        <f t="shared" si="0"/>
        <v>9450</v>
      </c>
      <c r="E8" s="21">
        <f t="shared" si="1"/>
        <v>30000</v>
      </c>
      <c r="F8" s="21">
        <f t="shared" si="2"/>
        <v>39450</v>
      </c>
      <c r="G8" s="21">
        <f t="shared" si="3"/>
        <v>240000</v>
      </c>
      <c r="J8" s="21">
        <v>2</v>
      </c>
      <c r="K8" s="21">
        <f t="shared" ref="K8:K16" si="9">O7</f>
        <v>270000</v>
      </c>
      <c r="L8" s="21">
        <f t="shared" si="4"/>
        <v>9450</v>
      </c>
      <c r="M8" s="21">
        <f t="shared" si="5"/>
        <v>30000</v>
      </c>
      <c r="N8" s="21">
        <f t="shared" si="6"/>
        <v>39450</v>
      </c>
      <c r="O8" s="21">
        <f t="shared" si="7"/>
        <v>240000</v>
      </c>
    </row>
    <row r="9" spans="1:15" x14ac:dyDescent="0.25">
      <c r="B9" s="21">
        <v>3</v>
      </c>
      <c r="C9" s="21">
        <f t="shared" si="8"/>
        <v>240000</v>
      </c>
      <c r="D9" s="21">
        <f t="shared" si="0"/>
        <v>8400</v>
      </c>
      <c r="E9" s="21">
        <f t="shared" si="1"/>
        <v>30000</v>
      </c>
      <c r="F9" s="21">
        <f t="shared" si="2"/>
        <v>38400</v>
      </c>
      <c r="G9" s="21">
        <f t="shared" si="3"/>
        <v>210000</v>
      </c>
      <c r="J9" s="21">
        <v>3</v>
      </c>
      <c r="K9" s="21">
        <f t="shared" si="9"/>
        <v>240000</v>
      </c>
      <c r="L9" s="21">
        <f t="shared" si="4"/>
        <v>8400</v>
      </c>
      <c r="M9" s="21">
        <f t="shared" si="5"/>
        <v>30000</v>
      </c>
      <c r="N9" s="21">
        <f t="shared" si="6"/>
        <v>38400</v>
      </c>
      <c r="O9" s="21">
        <f t="shared" si="7"/>
        <v>210000</v>
      </c>
    </row>
    <row r="10" spans="1:15" x14ac:dyDescent="0.25">
      <c r="B10" s="21">
        <v>4</v>
      </c>
      <c r="C10" s="21">
        <f t="shared" si="8"/>
        <v>210000</v>
      </c>
      <c r="D10" s="21">
        <f t="shared" si="0"/>
        <v>7350.0000000000009</v>
      </c>
      <c r="E10" s="21">
        <f t="shared" si="1"/>
        <v>30000</v>
      </c>
      <c r="F10" s="21">
        <f t="shared" si="2"/>
        <v>37350</v>
      </c>
      <c r="G10" s="21">
        <f t="shared" si="3"/>
        <v>180000</v>
      </c>
      <c r="J10" s="21">
        <v>4</v>
      </c>
      <c r="K10" s="21">
        <f t="shared" si="9"/>
        <v>210000</v>
      </c>
      <c r="L10" s="21">
        <f t="shared" si="4"/>
        <v>7350.0000000000009</v>
      </c>
      <c r="M10" s="21">
        <f t="shared" si="5"/>
        <v>30000</v>
      </c>
      <c r="N10" s="21">
        <f t="shared" si="6"/>
        <v>37350</v>
      </c>
      <c r="O10" s="21">
        <f t="shared" si="7"/>
        <v>180000</v>
      </c>
    </row>
    <row r="11" spans="1:15" x14ac:dyDescent="0.25">
      <c r="B11" s="21">
        <v>5</v>
      </c>
      <c r="C11" s="21">
        <f t="shared" si="8"/>
        <v>180000</v>
      </c>
      <c r="D11" s="21">
        <f t="shared" si="0"/>
        <v>6300.0000000000009</v>
      </c>
      <c r="E11" s="21">
        <f t="shared" si="1"/>
        <v>30000</v>
      </c>
      <c r="F11" s="21">
        <f t="shared" si="2"/>
        <v>36300</v>
      </c>
      <c r="G11" s="21">
        <f t="shared" si="3"/>
        <v>150000</v>
      </c>
      <c r="J11" s="21">
        <v>5</v>
      </c>
      <c r="K11" s="21">
        <f t="shared" si="9"/>
        <v>180000</v>
      </c>
      <c r="L11" s="21">
        <f t="shared" si="4"/>
        <v>6300.0000000000009</v>
      </c>
      <c r="M11" s="21">
        <f t="shared" si="5"/>
        <v>30000</v>
      </c>
      <c r="N11" s="21">
        <f t="shared" si="6"/>
        <v>36300</v>
      </c>
      <c r="O11" s="21">
        <f t="shared" si="7"/>
        <v>150000</v>
      </c>
    </row>
    <row r="12" spans="1:15" x14ac:dyDescent="0.25">
      <c r="B12" s="132" t="s">
        <v>200</v>
      </c>
      <c r="C12" s="21">
        <f t="shared" si="8"/>
        <v>150000</v>
      </c>
      <c r="D12" s="21">
        <f t="shared" si="0"/>
        <v>5250.0000000000009</v>
      </c>
      <c r="E12" s="21">
        <f t="shared" si="1"/>
        <v>30000</v>
      </c>
      <c r="F12" s="21">
        <f t="shared" si="2"/>
        <v>35250</v>
      </c>
      <c r="G12" s="21">
        <f t="shared" si="3"/>
        <v>120000</v>
      </c>
      <c r="J12" s="132" t="s">
        <v>200</v>
      </c>
      <c r="K12" s="21">
        <f t="shared" si="9"/>
        <v>150000</v>
      </c>
      <c r="L12" s="21">
        <f t="shared" si="4"/>
        <v>5250.0000000000009</v>
      </c>
      <c r="M12" s="21">
        <f t="shared" si="5"/>
        <v>30000</v>
      </c>
      <c r="N12" s="21">
        <f t="shared" si="6"/>
        <v>35250</v>
      </c>
      <c r="O12" s="21">
        <f t="shared" si="7"/>
        <v>120000</v>
      </c>
    </row>
    <row r="13" spans="1:15" x14ac:dyDescent="0.25">
      <c r="B13" s="132" t="s">
        <v>48</v>
      </c>
      <c r="C13" s="21">
        <f t="shared" si="8"/>
        <v>120000</v>
      </c>
      <c r="D13" s="21">
        <f t="shared" si="0"/>
        <v>4200</v>
      </c>
      <c r="E13" s="21">
        <f>(300000/10)*(1+1/3)</f>
        <v>40000</v>
      </c>
      <c r="F13" s="21">
        <f t="shared" si="2"/>
        <v>44200</v>
      </c>
      <c r="G13" s="21">
        <f t="shared" si="3"/>
        <v>80000</v>
      </c>
      <c r="J13" s="132" t="s">
        <v>48</v>
      </c>
      <c r="K13" s="21">
        <f t="shared" si="9"/>
        <v>120000</v>
      </c>
      <c r="L13" s="21">
        <f t="shared" si="4"/>
        <v>4200</v>
      </c>
      <c r="M13" s="21">
        <f t="shared" si="5"/>
        <v>30000</v>
      </c>
      <c r="N13" s="21">
        <f t="shared" si="6"/>
        <v>34200</v>
      </c>
      <c r="O13" s="21">
        <f t="shared" si="7"/>
        <v>90000</v>
      </c>
    </row>
    <row r="14" spans="1:15" x14ac:dyDescent="0.25">
      <c r="B14" s="132" t="s">
        <v>136</v>
      </c>
      <c r="C14" s="21">
        <f t="shared" si="8"/>
        <v>80000</v>
      </c>
      <c r="D14" s="21">
        <f t="shared" si="0"/>
        <v>2800.0000000000005</v>
      </c>
      <c r="E14" s="21">
        <f t="shared" ref="E14:E15" si="10">(300000/10)*(1+1/3)</f>
        <v>40000</v>
      </c>
      <c r="F14" s="21">
        <f t="shared" si="2"/>
        <v>42800</v>
      </c>
      <c r="G14" s="21">
        <f t="shared" si="3"/>
        <v>40000</v>
      </c>
      <c r="J14" s="132" t="s">
        <v>136</v>
      </c>
      <c r="K14" s="21">
        <f t="shared" si="9"/>
        <v>90000</v>
      </c>
      <c r="L14" s="21">
        <f t="shared" si="4"/>
        <v>3150.0000000000005</v>
      </c>
      <c r="M14" s="21">
        <f t="shared" si="5"/>
        <v>30000</v>
      </c>
      <c r="N14" s="21">
        <f t="shared" si="6"/>
        <v>33150</v>
      </c>
      <c r="O14" s="21">
        <f t="shared" si="7"/>
        <v>60000</v>
      </c>
    </row>
    <row r="15" spans="1:15" x14ac:dyDescent="0.25">
      <c r="B15" s="132" t="s">
        <v>152</v>
      </c>
      <c r="C15" s="21">
        <f t="shared" si="8"/>
        <v>40000</v>
      </c>
      <c r="D15" s="21">
        <f t="shared" si="0"/>
        <v>1400.0000000000002</v>
      </c>
      <c r="E15" s="21">
        <f t="shared" si="10"/>
        <v>40000</v>
      </c>
      <c r="F15" s="21">
        <f t="shared" si="2"/>
        <v>41400</v>
      </c>
      <c r="G15" s="21">
        <f t="shared" si="3"/>
        <v>0</v>
      </c>
      <c r="J15" s="132" t="s">
        <v>152</v>
      </c>
      <c r="K15" s="21">
        <f t="shared" si="9"/>
        <v>60000</v>
      </c>
      <c r="L15" s="21">
        <f t="shared" si="4"/>
        <v>2100</v>
      </c>
      <c r="M15" s="21">
        <f t="shared" si="5"/>
        <v>30000</v>
      </c>
      <c r="N15" s="21">
        <f t="shared" si="6"/>
        <v>32100</v>
      </c>
      <c r="O15" s="21">
        <f t="shared" si="7"/>
        <v>30000</v>
      </c>
    </row>
    <row r="16" spans="1:15" x14ac:dyDescent="0.25">
      <c r="B16" s="132" t="s">
        <v>201</v>
      </c>
      <c r="C16" s="21">
        <f t="shared" si="8"/>
        <v>0</v>
      </c>
      <c r="D16" s="21">
        <f t="shared" si="0"/>
        <v>0</v>
      </c>
      <c r="E16" s="21"/>
      <c r="F16" s="21">
        <f t="shared" si="2"/>
        <v>0</v>
      </c>
      <c r="G16" s="21">
        <f t="shared" si="3"/>
        <v>0</v>
      </c>
      <c r="J16" s="132" t="s">
        <v>201</v>
      </c>
      <c r="K16" s="21">
        <f t="shared" si="9"/>
        <v>30000</v>
      </c>
      <c r="L16" s="21">
        <f t="shared" si="4"/>
        <v>1050</v>
      </c>
      <c r="M16" s="21">
        <f t="shared" si="5"/>
        <v>30000</v>
      </c>
      <c r="N16" s="21">
        <f t="shared" si="6"/>
        <v>31050</v>
      </c>
      <c r="O16" s="21">
        <f t="shared" si="7"/>
        <v>0</v>
      </c>
    </row>
    <row r="17" spans="2:31" x14ac:dyDescent="0.25">
      <c r="D17" s="20">
        <f>SUM(D7:D16)</f>
        <v>55650</v>
      </c>
      <c r="L17" s="20">
        <f>SUM(L7:L16)</f>
        <v>57750</v>
      </c>
    </row>
    <row r="18" spans="2:31" x14ac:dyDescent="0.25">
      <c r="B18" s="20" t="s">
        <v>202</v>
      </c>
    </row>
    <row r="19" spans="2:31" x14ac:dyDescent="0.25">
      <c r="B19" s="181"/>
      <c r="C19" s="181" t="s">
        <v>171</v>
      </c>
      <c r="D19" s="181" t="s">
        <v>106</v>
      </c>
      <c r="E19" s="181" t="s">
        <v>172</v>
      </c>
      <c r="F19" s="181" t="s">
        <v>173</v>
      </c>
      <c r="G19" s="181" t="s">
        <v>174</v>
      </c>
    </row>
    <row r="20" spans="2:31" x14ac:dyDescent="0.25">
      <c r="B20" s="21">
        <v>1</v>
      </c>
      <c r="C20" s="21">
        <v>300000</v>
      </c>
      <c r="D20" s="21">
        <f t="shared" ref="D20:D29" si="11">C20*0.035</f>
        <v>10500.000000000002</v>
      </c>
      <c r="E20" s="21">
        <f t="shared" ref="E20:E25" si="12">300000/10</f>
        <v>30000</v>
      </c>
      <c r="F20" s="21">
        <f t="shared" ref="F20:F29" si="13">D20+E20</f>
        <v>40500</v>
      </c>
      <c r="G20" s="21">
        <f t="shared" ref="G20:G29" si="14">C20-E20</f>
        <v>270000</v>
      </c>
    </row>
    <row r="21" spans="2:31" x14ac:dyDescent="0.25">
      <c r="B21" s="21">
        <v>2</v>
      </c>
      <c r="C21" s="21">
        <f t="shared" ref="C21:C29" si="15">G20</f>
        <v>270000</v>
      </c>
      <c r="D21" s="21">
        <f t="shared" si="11"/>
        <v>9450</v>
      </c>
      <c r="E21" s="21">
        <f t="shared" si="12"/>
        <v>30000</v>
      </c>
      <c r="F21" s="21">
        <f t="shared" si="13"/>
        <v>39450</v>
      </c>
      <c r="G21" s="21">
        <f t="shared" si="14"/>
        <v>240000</v>
      </c>
    </row>
    <row r="22" spans="2:31" x14ac:dyDescent="0.25">
      <c r="B22" s="21">
        <v>3</v>
      </c>
      <c r="C22" s="21">
        <f t="shared" si="15"/>
        <v>240000</v>
      </c>
      <c r="D22" s="21">
        <f t="shared" si="11"/>
        <v>8400</v>
      </c>
      <c r="E22" s="21">
        <f t="shared" si="12"/>
        <v>30000</v>
      </c>
      <c r="F22" s="21">
        <f t="shared" si="13"/>
        <v>38400</v>
      </c>
      <c r="G22" s="21">
        <f t="shared" si="14"/>
        <v>210000</v>
      </c>
    </row>
    <row r="23" spans="2:31" x14ac:dyDescent="0.25">
      <c r="B23" s="21">
        <v>4</v>
      </c>
      <c r="C23" s="21">
        <f t="shared" si="15"/>
        <v>210000</v>
      </c>
      <c r="D23" s="21">
        <f t="shared" si="11"/>
        <v>7350.0000000000009</v>
      </c>
      <c r="E23" s="21">
        <f t="shared" si="12"/>
        <v>30000</v>
      </c>
      <c r="F23" s="21">
        <f t="shared" si="13"/>
        <v>37350</v>
      </c>
      <c r="G23" s="21">
        <f t="shared" si="14"/>
        <v>180000</v>
      </c>
    </row>
    <row r="24" spans="2:31" x14ac:dyDescent="0.25">
      <c r="B24" s="21">
        <v>5</v>
      </c>
      <c r="C24" s="21">
        <f t="shared" si="15"/>
        <v>180000</v>
      </c>
      <c r="D24" s="21">
        <f t="shared" si="11"/>
        <v>6300.0000000000009</v>
      </c>
      <c r="E24" s="21">
        <f t="shared" si="12"/>
        <v>30000</v>
      </c>
      <c r="F24" s="21">
        <f t="shared" si="13"/>
        <v>36300</v>
      </c>
      <c r="G24" s="21">
        <f t="shared" si="14"/>
        <v>150000</v>
      </c>
    </row>
    <row r="25" spans="2:31" x14ac:dyDescent="0.25">
      <c r="B25" s="132" t="s">
        <v>200</v>
      </c>
      <c r="C25" s="21">
        <f t="shared" si="15"/>
        <v>150000</v>
      </c>
      <c r="D25" s="21">
        <f t="shared" si="11"/>
        <v>5250.0000000000009</v>
      </c>
      <c r="E25" s="21">
        <f t="shared" si="12"/>
        <v>30000</v>
      </c>
      <c r="F25" s="21">
        <f t="shared" si="13"/>
        <v>35250</v>
      </c>
      <c r="G25" s="21">
        <f t="shared" si="14"/>
        <v>120000</v>
      </c>
    </row>
    <row r="26" spans="2:31" x14ac:dyDescent="0.25">
      <c r="B26" s="132" t="s">
        <v>48</v>
      </c>
      <c r="C26" s="21">
        <f t="shared" si="15"/>
        <v>120000</v>
      </c>
      <c r="D26" s="21">
        <f>C26*0.035</f>
        <v>4200</v>
      </c>
      <c r="E26" s="21">
        <f>(300000/10)*2</f>
        <v>60000</v>
      </c>
      <c r="F26" s="21">
        <f t="shared" si="13"/>
        <v>64200</v>
      </c>
      <c r="G26" s="21">
        <f t="shared" si="14"/>
        <v>60000</v>
      </c>
    </row>
    <row r="27" spans="2:31" x14ac:dyDescent="0.25">
      <c r="B27" s="132" t="s">
        <v>136</v>
      </c>
      <c r="C27" s="21">
        <f t="shared" si="15"/>
        <v>60000</v>
      </c>
      <c r="D27" s="21">
        <f t="shared" si="11"/>
        <v>2100</v>
      </c>
      <c r="E27" s="21">
        <f>(300000/10)*2</f>
        <v>60000</v>
      </c>
      <c r="F27" s="21">
        <f t="shared" si="13"/>
        <v>62100</v>
      </c>
      <c r="G27" s="21">
        <f t="shared" si="14"/>
        <v>0</v>
      </c>
      <c r="AE27" s="137">
        <f>D14/12</f>
        <v>233.33333333333337</v>
      </c>
    </row>
    <row r="28" spans="2:31" x14ac:dyDescent="0.25">
      <c r="B28" s="132" t="s">
        <v>152</v>
      </c>
      <c r="C28" s="21">
        <f t="shared" si="15"/>
        <v>0</v>
      </c>
      <c r="D28" s="21">
        <f t="shared" si="11"/>
        <v>0</v>
      </c>
      <c r="E28" s="21"/>
      <c r="F28" s="21">
        <f t="shared" si="13"/>
        <v>0</v>
      </c>
      <c r="G28" s="21">
        <f t="shared" si="14"/>
        <v>0</v>
      </c>
    </row>
    <row r="29" spans="2:31" x14ac:dyDescent="0.25">
      <c r="B29" s="132" t="s">
        <v>201</v>
      </c>
      <c r="C29" s="21">
        <f t="shared" si="15"/>
        <v>0</v>
      </c>
      <c r="D29" s="21">
        <f t="shared" si="11"/>
        <v>0</v>
      </c>
      <c r="E29" s="21"/>
      <c r="F29" s="21">
        <f t="shared" si="13"/>
        <v>0</v>
      </c>
      <c r="G29" s="21">
        <f t="shared" si="14"/>
        <v>0</v>
      </c>
    </row>
    <row r="30" spans="2:31" x14ac:dyDescent="0.25">
      <c r="D30" s="20">
        <f>SUM(D20:D29)</f>
        <v>53550</v>
      </c>
    </row>
  </sheetData>
  <mergeCells count="3">
    <mergeCell ref="J5:O5"/>
    <mergeCell ref="B2:D2"/>
    <mergeCell ref="B3:D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1DCA3B-B03A-4777-9BD5-11F0939F8212}">
  <sheetPr codeName="Feuil11"/>
  <dimension ref="B1:AM268"/>
  <sheetViews>
    <sheetView topLeftCell="R243" zoomScale="63" workbookViewId="0">
      <selection activeCell="S266" sqref="S266"/>
    </sheetView>
  </sheetViews>
  <sheetFormatPr baseColWidth="10" defaultColWidth="10.7109375" defaultRowHeight="15" x14ac:dyDescent="0.25"/>
  <cols>
    <col min="2" max="2" width="31" bestFit="1" customWidth="1"/>
    <col min="3" max="3" width="13.7109375" customWidth="1"/>
    <col min="4" max="4" width="13.42578125" customWidth="1"/>
    <col min="5" max="5" width="15.5703125" customWidth="1"/>
    <col min="6" max="6" width="13.85546875" customWidth="1"/>
    <col min="7" max="7" width="13.140625" customWidth="1"/>
    <col min="8" max="8" width="12.85546875" customWidth="1"/>
    <col min="9" max="9" width="17.28515625" customWidth="1"/>
    <col min="10" max="11" width="13.7109375" customWidth="1"/>
    <col min="12" max="12" width="15.85546875" customWidth="1"/>
    <col min="13" max="13" width="13.28515625" customWidth="1"/>
    <col min="14" max="14" width="14.85546875" customWidth="1"/>
    <col min="15" max="15" width="27.7109375" customWidth="1"/>
    <col min="16" max="16" width="14.85546875" customWidth="1"/>
    <col min="19" max="19" width="36.42578125" customWidth="1"/>
    <col min="20" max="20" width="14.7109375" customWidth="1"/>
    <col min="21" max="21" width="11.42578125" customWidth="1"/>
    <col min="22" max="22" width="36.140625" bestFit="1" customWidth="1"/>
    <col min="23" max="24" width="15.85546875" customWidth="1"/>
    <col min="25" max="25" width="19.5703125" customWidth="1"/>
    <col min="26" max="26" width="40" bestFit="1" customWidth="1"/>
    <col min="27" max="27" width="18.85546875" customWidth="1"/>
  </cols>
  <sheetData>
    <row r="1" spans="2:31" ht="24" x14ac:dyDescent="0.4">
      <c r="B1" s="280" t="s">
        <v>48</v>
      </c>
      <c r="C1" s="280"/>
      <c r="D1" s="280"/>
      <c r="E1" s="280"/>
      <c r="F1" s="280"/>
      <c r="G1" s="280"/>
      <c r="H1" s="280"/>
      <c r="I1" s="280"/>
      <c r="J1" s="280"/>
      <c r="K1" s="280"/>
      <c r="L1" s="280"/>
      <c r="M1" s="280"/>
      <c r="N1" s="280"/>
      <c r="O1" s="280"/>
      <c r="P1" s="280"/>
    </row>
    <row r="2" spans="2:31" x14ac:dyDescent="0.25">
      <c r="B2" s="267" t="s">
        <v>49</v>
      </c>
      <c r="C2" s="267"/>
      <c r="D2" s="267"/>
      <c r="E2" s="267"/>
      <c r="F2" s="267"/>
      <c r="G2" s="267"/>
      <c r="H2" s="267"/>
      <c r="I2" s="267"/>
      <c r="J2" s="267"/>
      <c r="K2" s="267"/>
      <c r="L2" s="267"/>
      <c r="M2" s="267"/>
      <c r="N2" s="267"/>
      <c r="O2" s="267"/>
      <c r="P2" s="267"/>
    </row>
    <row r="3" spans="2:31" x14ac:dyDescent="0.25">
      <c r="B3" s="213"/>
      <c r="C3" s="215" t="s">
        <v>50</v>
      </c>
      <c r="D3" s="215" t="s">
        <v>51</v>
      </c>
      <c r="E3" s="215" t="s">
        <v>52</v>
      </c>
      <c r="F3" s="215" t="s">
        <v>53</v>
      </c>
      <c r="G3" s="215" t="s">
        <v>54</v>
      </c>
      <c r="H3" s="215" t="s">
        <v>55</v>
      </c>
      <c r="I3" s="215" t="s">
        <v>56</v>
      </c>
      <c r="J3" s="215" t="s">
        <v>57</v>
      </c>
      <c r="K3" s="215" t="s">
        <v>58</v>
      </c>
      <c r="L3" s="215" t="s">
        <v>59</v>
      </c>
      <c r="M3" s="215" t="s">
        <v>60</v>
      </c>
      <c r="N3" s="215" t="s">
        <v>61</v>
      </c>
      <c r="O3" s="220" t="s">
        <v>62</v>
      </c>
      <c r="P3" s="221"/>
      <c r="S3" s="215" t="s">
        <v>203</v>
      </c>
      <c r="T3" s="215" t="s">
        <v>50</v>
      </c>
      <c r="U3" s="215" t="s">
        <v>51</v>
      </c>
      <c r="V3" s="215" t="s">
        <v>52</v>
      </c>
      <c r="W3" s="215" t="s">
        <v>53</v>
      </c>
      <c r="X3" s="215" t="s">
        <v>54</v>
      </c>
      <c r="Y3" s="215" t="s">
        <v>55</v>
      </c>
      <c r="Z3" s="215" t="s">
        <v>56</v>
      </c>
      <c r="AA3" s="215" t="s">
        <v>57</v>
      </c>
      <c r="AB3" s="215" t="s">
        <v>58</v>
      </c>
      <c r="AC3" s="215" t="s">
        <v>59</v>
      </c>
      <c r="AD3" s="215" t="s">
        <v>60</v>
      </c>
      <c r="AE3" s="215" t="s">
        <v>61</v>
      </c>
    </row>
    <row r="4" spans="2:31" x14ac:dyDescent="0.25">
      <c r="B4" s="214"/>
      <c r="C4" s="216"/>
      <c r="D4" s="216"/>
      <c r="E4" s="216"/>
      <c r="F4" s="216"/>
      <c r="G4" s="216"/>
      <c r="H4" s="216"/>
      <c r="I4" s="216"/>
      <c r="J4" s="216"/>
      <c r="K4" s="216"/>
      <c r="L4" s="216"/>
      <c r="M4" s="216"/>
      <c r="N4" s="216"/>
      <c r="O4" s="58" t="s">
        <v>64</v>
      </c>
      <c r="P4" s="58" t="s">
        <v>65</v>
      </c>
      <c r="S4" s="216"/>
      <c r="T4" s="216"/>
      <c r="U4" s="216"/>
      <c r="V4" s="216"/>
      <c r="W4" s="216"/>
      <c r="X4" s="216"/>
      <c r="Y4" s="216"/>
      <c r="Z4" s="216"/>
      <c r="AA4" s="216"/>
      <c r="AB4" s="216"/>
      <c r="AC4" s="216"/>
      <c r="AD4" s="216"/>
      <c r="AE4" s="216"/>
    </row>
    <row r="5" spans="2:31" x14ac:dyDescent="0.25">
      <c r="B5" s="35" t="s">
        <v>66</v>
      </c>
      <c r="C5" s="35">
        <f>'Bilan et CDR N'!$C$5*1.02/12</f>
        <v>5304</v>
      </c>
      <c r="D5" s="35">
        <f>'Bilan et CDR N'!$C$5*1.02/12</f>
        <v>5304</v>
      </c>
      <c r="E5" s="35">
        <f>'Bilan et CDR N'!$C$5*1.02/12</f>
        <v>5304</v>
      </c>
      <c r="F5" s="35">
        <f>'Bilan et CDR N'!$C$5*1.02/12</f>
        <v>5304</v>
      </c>
      <c r="G5" s="35">
        <f>'Bilan et CDR N'!$C$5*1.02/12</f>
        <v>5304</v>
      </c>
      <c r="H5" s="35">
        <f>'Bilan et CDR N'!$C$5*1.02/12</f>
        <v>5304</v>
      </c>
      <c r="I5" s="35">
        <f>'Bilan et CDR N'!$C$5*1.02/12</f>
        <v>5304</v>
      </c>
      <c r="J5" s="35">
        <f>'Bilan et CDR N'!$C$5*1.02/12</f>
        <v>5304</v>
      </c>
      <c r="K5" s="35">
        <f>'Bilan et CDR N'!$C$5*1.02/12</f>
        <v>5304</v>
      </c>
      <c r="L5" s="35">
        <f>'Bilan et CDR N'!$C$5*1.02/12</f>
        <v>5304</v>
      </c>
      <c r="M5" s="35">
        <f>'Bilan et CDR N'!$C$5*1.02/12</f>
        <v>5304</v>
      </c>
      <c r="N5" s="35">
        <f>'Bilan et CDR N'!$C$5*1.02/12</f>
        <v>5304</v>
      </c>
      <c r="O5" s="60" t="s">
        <v>1</v>
      </c>
      <c r="P5" s="61">
        <f>SUM(C5:N5)</f>
        <v>63648</v>
      </c>
      <c r="S5" s="88" t="s">
        <v>204</v>
      </c>
      <c r="T5" s="89">
        <f>C8</f>
        <v>78000</v>
      </c>
      <c r="U5" s="89">
        <f t="shared" ref="U5:AE5" si="0">D8</f>
        <v>6364.8</v>
      </c>
      <c r="V5" s="89">
        <f t="shared" si="0"/>
        <v>6364.8</v>
      </c>
      <c r="W5" s="89">
        <f t="shared" si="0"/>
        <v>6364.8</v>
      </c>
      <c r="X5" s="89">
        <f t="shared" si="0"/>
        <v>6364.8</v>
      </c>
      <c r="Y5" s="89">
        <f t="shared" si="0"/>
        <v>6364.8</v>
      </c>
      <c r="Z5" s="89">
        <f t="shared" si="0"/>
        <v>6364.8</v>
      </c>
      <c r="AA5" s="89">
        <f t="shared" si="0"/>
        <v>6364.8</v>
      </c>
      <c r="AB5" s="89">
        <f t="shared" si="0"/>
        <v>6364.8</v>
      </c>
      <c r="AC5" s="89">
        <f t="shared" si="0"/>
        <v>6364.8</v>
      </c>
      <c r="AD5" s="89">
        <f t="shared" si="0"/>
        <v>6364.8</v>
      </c>
      <c r="AE5" s="89">
        <f t="shared" si="0"/>
        <v>6364.8</v>
      </c>
    </row>
    <row r="6" spans="2:31" x14ac:dyDescent="0.25">
      <c r="B6" s="34" t="s">
        <v>68</v>
      </c>
      <c r="C6" s="34">
        <f>C5*20%</f>
        <v>1060.8</v>
      </c>
      <c r="D6" s="34">
        <f t="shared" ref="D6:N6" si="1">D5*20%</f>
        <v>1060.8</v>
      </c>
      <c r="E6" s="34">
        <f t="shared" si="1"/>
        <v>1060.8</v>
      </c>
      <c r="F6" s="34">
        <f t="shared" si="1"/>
        <v>1060.8</v>
      </c>
      <c r="G6" s="34">
        <f t="shared" si="1"/>
        <v>1060.8</v>
      </c>
      <c r="H6" s="34">
        <f t="shared" si="1"/>
        <v>1060.8</v>
      </c>
      <c r="I6" s="34">
        <f t="shared" si="1"/>
        <v>1060.8</v>
      </c>
      <c r="J6" s="34">
        <f t="shared" si="1"/>
        <v>1060.8</v>
      </c>
      <c r="K6" s="34">
        <f t="shared" si="1"/>
        <v>1060.8</v>
      </c>
      <c r="L6" s="34">
        <f t="shared" si="1"/>
        <v>1060.8</v>
      </c>
      <c r="M6" s="34">
        <f t="shared" si="1"/>
        <v>1060.8</v>
      </c>
      <c r="N6" s="34">
        <f t="shared" si="1"/>
        <v>1060.8</v>
      </c>
      <c r="O6" s="34"/>
      <c r="P6" s="34"/>
      <c r="S6" s="87" t="s">
        <v>205</v>
      </c>
      <c r="T6" s="86"/>
      <c r="U6" s="86">
        <f>-U5*0.9</f>
        <v>-5728.3200000000006</v>
      </c>
      <c r="V6" s="86">
        <f>-V5*0.92</f>
        <v>-5855.616</v>
      </c>
      <c r="W6" s="86">
        <f>-W5*0.99</f>
        <v>-6301.152</v>
      </c>
      <c r="X6" s="86">
        <f t="shared" ref="X6:AE6" si="2">-X5</f>
        <v>-6364.8</v>
      </c>
      <c r="Y6" s="86">
        <f t="shared" si="2"/>
        <v>-6364.8</v>
      </c>
      <c r="Z6" s="86">
        <f t="shared" si="2"/>
        <v>-6364.8</v>
      </c>
      <c r="AA6" s="86">
        <f t="shared" si="2"/>
        <v>-6364.8</v>
      </c>
      <c r="AB6" s="86">
        <f t="shared" si="2"/>
        <v>-6364.8</v>
      </c>
      <c r="AC6" s="86">
        <f t="shared" si="2"/>
        <v>-6364.8</v>
      </c>
      <c r="AD6" s="86">
        <f t="shared" si="2"/>
        <v>-6364.8</v>
      </c>
      <c r="AE6" s="86">
        <f t="shared" si="2"/>
        <v>-6364.8</v>
      </c>
    </row>
    <row r="7" spans="2:31" x14ac:dyDescent="0.25">
      <c r="B7" s="34" t="s">
        <v>69</v>
      </c>
      <c r="C7" s="34">
        <f>C5+C6</f>
        <v>6364.8</v>
      </c>
      <c r="D7" s="34">
        <f t="shared" ref="D7:N7" si="3">D5+D6</f>
        <v>6364.8</v>
      </c>
      <c r="E7" s="34">
        <f t="shared" si="3"/>
        <v>6364.8</v>
      </c>
      <c r="F7" s="34">
        <f t="shared" si="3"/>
        <v>6364.8</v>
      </c>
      <c r="G7" s="34">
        <f t="shared" si="3"/>
        <v>6364.8</v>
      </c>
      <c r="H7" s="34">
        <f t="shared" si="3"/>
        <v>6364.8</v>
      </c>
      <c r="I7" s="34">
        <f t="shared" si="3"/>
        <v>6364.8</v>
      </c>
      <c r="J7" s="34">
        <f t="shared" si="3"/>
        <v>6364.8</v>
      </c>
      <c r="K7" s="34">
        <f t="shared" si="3"/>
        <v>6364.8</v>
      </c>
      <c r="L7" s="34">
        <f t="shared" si="3"/>
        <v>6364.8</v>
      </c>
      <c r="M7" s="34">
        <f t="shared" si="3"/>
        <v>6364.8</v>
      </c>
      <c r="N7" s="34">
        <f t="shared" si="3"/>
        <v>6364.8</v>
      </c>
      <c r="O7" s="34"/>
      <c r="P7" s="34"/>
      <c r="S7" s="87" t="s">
        <v>206</v>
      </c>
      <c r="T7" s="86">
        <f>-U6/1.05</f>
        <v>5455.5428571428574</v>
      </c>
      <c r="U7" s="86">
        <f t="shared" ref="U7:AD7" si="4">-V6/1.05</f>
        <v>5576.7771428571423</v>
      </c>
      <c r="V7" s="86">
        <f t="shared" si="4"/>
        <v>6001.0971428571429</v>
      </c>
      <c r="W7" s="86">
        <f t="shared" si="4"/>
        <v>6061.7142857142853</v>
      </c>
      <c r="X7" s="86">
        <f t="shared" si="4"/>
        <v>6061.7142857142853</v>
      </c>
      <c r="Y7" s="86">
        <f t="shared" si="4"/>
        <v>6061.7142857142853</v>
      </c>
      <c r="Z7" s="86">
        <f t="shared" si="4"/>
        <v>6061.7142857142853</v>
      </c>
      <c r="AA7" s="86">
        <f t="shared" si="4"/>
        <v>6061.7142857142853</v>
      </c>
      <c r="AB7" s="86">
        <f t="shared" si="4"/>
        <v>6061.7142857142853</v>
      </c>
      <c r="AC7" s="86">
        <f t="shared" si="4"/>
        <v>6061.7142857142853</v>
      </c>
      <c r="AD7" s="86">
        <f t="shared" si="4"/>
        <v>6061.7142857142853</v>
      </c>
      <c r="AE7" s="91">
        <v>76306</v>
      </c>
    </row>
    <row r="8" spans="2:31" x14ac:dyDescent="0.25">
      <c r="B8" s="81" t="s">
        <v>139</v>
      </c>
      <c r="C8" s="81">
        <f>'Bilan et CDR N'!I14</f>
        <v>78000</v>
      </c>
      <c r="D8" s="81">
        <f>C7</f>
        <v>6364.8</v>
      </c>
      <c r="E8" s="81">
        <f>D7</f>
        <v>6364.8</v>
      </c>
      <c r="F8" s="81">
        <f>E7</f>
        <v>6364.8</v>
      </c>
      <c r="G8" s="81">
        <f>F7</f>
        <v>6364.8</v>
      </c>
      <c r="H8" s="81">
        <f>G7</f>
        <v>6364.8</v>
      </c>
      <c r="I8" s="81">
        <f t="shared" ref="I8:N8" si="5">H7</f>
        <v>6364.8</v>
      </c>
      <c r="J8" s="81">
        <f t="shared" si="5"/>
        <v>6364.8</v>
      </c>
      <c r="K8" s="81">
        <f t="shared" si="5"/>
        <v>6364.8</v>
      </c>
      <c r="L8" s="81">
        <f t="shared" si="5"/>
        <v>6364.8</v>
      </c>
      <c r="M8" s="81">
        <f t="shared" si="5"/>
        <v>6364.8</v>
      </c>
      <c r="N8" s="81">
        <f t="shared" si="5"/>
        <v>6364.8</v>
      </c>
      <c r="O8" s="82" t="s">
        <v>72</v>
      </c>
      <c r="P8" s="83">
        <f>N7</f>
        <v>6364.8</v>
      </c>
      <c r="S8" s="87" t="s">
        <v>207</v>
      </c>
      <c r="T8" s="86"/>
      <c r="U8" s="86"/>
      <c r="V8" s="86"/>
      <c r="W8" s="86">
        <v>4360</v>
      </c>
      <c r="X8" s="86">
        <v>6083</v>
      </c>
      <c r="Y8" s="86">
        <v>6204</v>
      </c>
      <c r="Z8" s="86">
        <v>6212</v>
      </c>
      <c r="AA8" s="86">
        <v>6213</v>
      </c>
      <c r="AB8" s="86">
        <v>6213</v>
      </c>
      <c r="AC8" s="86">
        <v>14413</v>
      </c>
      <c r="AD8" s="86">
        <v>6787</v>
      </c>
      <c r="AE8" s="86">
        <v>6253</v>
      </c>
    </row>
    <row r="9" spans="2:31" x14ac:dyDescent="0.25">
      <c r="B9" s="34" t="s">
        <v>208</v>
      </c>
      <c r="C9" s="34"/>
      <c r="D9" s="34"/>
      <c r="E9" s="34">
        <v>30000</v>
      </c>
      <c r="F9" s="34"/>
      <c r="G9" s="34"/>
      <c r="H9" s="34"/>
      <c r="I9" s="34"/>
      <c r="J9" s="34"/>
      <c r="K9" s="34"/>
      <c r="L9" s="34"/>
      <c r="M9" s="34"/>
      <c r="N9" s="34"/>
      <c r="O9" s="61" t="s">
        <v>209</v>
      </c>
      <c r="P9" s="61">
        <v>30000</v>
      </c>
      <c r="S9" s="88" t="s">
        <v>210</v>
      </c>
      <c r="T9" s="89">
        <f>SUM(T5:T8)</f>
        <v>83455.542857142864</v>
      </c>
      <c r="U9" s="89">
        <f t="shared" ref="U9:AE9" si="6">SUM(U5:U8)</f>
        <v>6213.2571428571418</v>
      </c>
      <c r="V9" s="89">
        <f t="shared" si="6"/>
        <v>6510.2811428571431</v>
      </c>
      <c r="W9" s="89">
        <f t="shared" si="6"/>
        <v>10485.362285714285</v>
      </c>
      <c r="X9" s="89">
        <f t="shared" si="6"/>
        <v>12144.714285714286</v>
      </c>
      <c r="Y9" s="89">
        <f t="shared" si="6"/>
        <v>12265.714285714286</v>
      </c>
      <c r="Z9" s="89">
        <f t="shared" si="6"/>
        <v>12273.714285714286</v>
      </c>
      <c r="AA9" s="89">
        <f t="shared" si="6"/>
        <v>12274.714285714286</v>
      </c>
      <c r="AB9" s="89">
        <f t="shared" si="6"/>
        <v>12274.714285714286</v>
      </c>
      <c r="AC9" s="89">
        <f t="shared" si="6"/>
        <v>20474.714285714286</v>
      </c>
      <c r="AD9" s="89">
        <f t="shared" si="6"/>
        <v>12848.714285714286</v>
      </c>
      <c r="AE9" s="89">
        <f t="shared" si="6"/>
        <v>82559</v>
      </c>
    </row>
    <row r="10" spans="2:31" x14ac:dyDescent="0.25"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S10" s="87" t="s">
        <v>211</v>
      </c>
      <c r="T10" s="86">
        <f>C82</f>
        <v>130779.44</v>
      </c>
      <c r="U10" s="86">
        <f t="shared" ref="U10:AE10" si="7">D82</f>
        <v>46852</v>
      </c>
      <c r="V10" s="86">
        <f t="shared" si="7"/>
        <v>51352</v>
      </c>
      <c r="W10" s="86">
        <f t="shared" si="7"/>
        <v>51352</v>
      </c>
      <c r="X10" s="86">
        <f t="shared" si="7"/>
        <v>51352</v>
      </c>
      <c r="Y10" s="86">
        <f t="shared" si="7"/>
        <v>51352</v>
      </c>
      <c r="Z10" s="86">
        <f t="shared" si="7"/>
        <v>51352</v>
      </c>
      <c r="AA10" s="86">
        <f t="shared" si="7"/>
        <v>51352</v>
      </c>
      <c r="AB10" s="86">
        <f t="shared" si="7"/>
        <v>51352</v>
      </c>
      <c r="AC10" s="86">
        <f t="shared" si="7"/>
        <v>59552</v>
      </c>
      <c r="AD10" s="86">
        <f t="shared" si="7"/>
        <v>51352</v>
      </c>
      <c r="AE10" s="86">
        <f t="shared" si="7"/>
        <v>51352</v>
      </c>
    </row>
    <row r="11" spans="2:31" x14ac:dyDescent="0.25">
      <c r="B11" s="267" t="s">
        <v>74</v>
      </c>
      <c r="C11" s="267"/>
      <c r="D11" s="267"/>
      <c r="E11" s="267"/>
      <c r="F11" s="267"/>
      <c r="G11" s="267"/>
      <c r="H11" s="267"/>
      <c r="I11" s="267"/>
      <c r="J11" s="267"/>
      <c r="K11" s="267"/>
      <c r="L11" s="267"/>
      <c r="M11" s="267"/>
      <c r="N11" s="267"/>
      <c r="O11" s="267"/>
      <c r="P11" s="267"/>
      <c r="S11" s="87" t="s">
        <v>212</v>
      </c>
      <c r="T11" s="86"/>
      <c r="U11" s="86">
        <f>T8*0.07</f>
        <v>0</v>
      </c>
      <c r="V11" s="86">
        <f t="shared" ref="V11:AE11" si="8">U8*0.07</f>
        <v>0</v>
      </c>
      <c r="W11" s="86">
        <f t="shared" si="8"/>
        <v>0</v>
      </c>
      <c r="X11" s="86">
        <f t="shared" si="8"/>
        <v>305.20000000000005</v>
      </c>
      <c r="Y11" s="86">
        <f t="shared" si="8"/>
        <v>425.81000000000006</v>
      </c>
      <c r="Z11" s="86">
        <f t="shared" si="8"/>
        <v>434.28000000000003</v>
      </c>
      <c r="AA11" s="86">
        <f t="shared" si="8"/>
        <v>434.84000000000003</v>
      </c>
      <c r="AB11" s="86">
        <f t="shared" si="8"/>
        <v>434.91</v>
      </c>
      <c r="AC11" s="86">
        <f t="shared" si="8"/>
        <v>434.91</v>
      </c>
      <c r="AD11" s="86">
        <f t="shared" si="8"/>
        <v>1008.9100000000001</v>
      </c>
      <c r="AE11" s="86">
        <f t="shared" si="8"/>
        <v>475.09000000000003</v>
      </c>
    </row>
    <row r="12" spans="2:31" x14ac:dyDescent="0.25">
      <c r="B12" s="213"/>
      <c r="C12" s="215" t="s">
        <v>50</v>
      </c>
      <c r="D12" s="215" t="s">
        <v>51</v>
      </c>
      <c r="E12" s="215" t="s">
        <v>52</v>
      </c>
      <c r="F12" s="215" t="s">
        <v>53</v>
      </c>
      <c r="G12" s="215" t="s">
        <v>54</v>
      </c>
      <c r="H12" s="215" t="s">
        <v>55</v>
      </c>
      <c r="I12" s="215" t="s">
        <v>56</v>
      </c>
      <c r="J12" s="215" t="s">
        <v>57</v>
      </c>
      <c r="K12" s="215" t="s">
        <v>58</v>
      </c>
      <c r="L12" s="215" t="s">
        <v>59</v>
      </c>
      <c r="M12" s="215" t="s">
        <v>60</v>
      </c>
      <c r="N12" s="215" t="s">
        <v>61</v>
      </c>
      <c r="O12" s="220" t="s">
        <v>62</v>
      </c>
      <c r="P12" s="221"/>
      <c r="S12" s="88" t="s">
        <v>213</v>
      </c>
      <c r="T12" s="89">
        <f>T10+T11</f>
        <v>130779.44</v>
      </c>
      <c r="U12" s="89">
        <f t="shared" ref="U12:AE12" si="9">U10+U11</f>
        <v>46852</v>
      </c>
      <c r="V12" s="89">
        <f t="shared" si="9"/>
        <v>51352</v>
      </c>
      <c r="W12" s="89">
        <f t="shared" si="9"/>
        <v>51352</v>
      </c>
      <c r="X12" s="89">
        <f t="shared" si="9"/>
        <v>51657.2</v>
      </c>
      <c r="Y12" s="89">
        <f t="shared" si="9"/>
        <v>51777.81</v>
      </c>
      <c r="Z12" s="89">
        <f t="shared" si="9"/>
        <v>51786.28</v>
      </c>
      <c r="AA12" s="89">
        <f t="shared" si="9"/>
        <v>51786.84</v>
      </c>
      <c r="AB12" s="89">
        <f t="shared" si="9"/>
        <v>51786.91</v>
      </c>
      <c r="AC12" s="89">
        <f t="shared" si="9"/>
        <v>59986.91</v>
      </c>
      <c r="AD12" s="89">
        <f t="shared" si="9"/>
        <v>52360.91</v>
      </c>
      <c r="AE12" s="89">
        <f t="shared" si="9"/>
        <v>51827.09</v>
      </c>
    </row>
    <row r="13" spans="2:31" x14ac:dyDescent="0.25">
      <c r="B13" s="214"/>
      <c r="C13" s="216"/>
      <c r="D13" s="216"/>
      <c r="E13" s="216"/>
      <c r="F13" s="216"/>
      <c r="G13" s="216"/>
      <c r="H13" s="216"/>
      <c r="I13" s="216"/>
      <c r="J13" s="216"/>
      <c r="K13" s="216"/>
      <c r="L13" s="216"/>
      <c r="M13" s="216"/>
      <c r="N13" s="216"/>
      <c r="O13" s="58" t="s">
        <v>64</v>
      </c>
      <c r="P13" s="58" t="s">
        <v>65</v>
      </c>
      <c r="S13" s="87" t="s">
        <v>132</v>
      </c>
      <c r="T13" s="86">
        <f>'Bilan et CDR N'!I16</f>
        <v>6350</v>
      </c>
      <c r="U13" s="86">
        <f>T15</f>
        <v>-40973.897142857139</v>
      </c>
      <c r="V13" s="86">
        <f t="shared" ref="V13:AE13" si="10">U15</f>
        <v>-81612.639999999999</v>
      </c>
      <c r="W13" s="86">
        <f t="shared" si="10"/>
        <v>-126454.35885714286</v>
      </c>
      <c r="X13" s="86">
        <f t="shared" si="10"/>
        <v>-167320.99657142858</v>
      </c>
      <c r="Y13" s="86">
        <f>X15</f>
        <v>-206833.4822857143</v>
      </c>
      <c r="Z13" s="86">
        <f t="shared" si="10"/>
        <v>-246345.57800000001</v>
      </c>
      <c r="AA13" s="86">
        <f t="shared" si="10"/>
        <v>-285858.14371428569</v>
      </c>
      <c r="AB13" s="86">
        <f t="shared" si="10"/>
        <v>-325370.2694285714</v>
      </c>
      <c r="AC13" s="86">
        <f t="shared" si="10"/>
        <v>-364882.46514285711</v>
      </c>
      <c r="AD13" s="86">
        <f t="shared" si="10"/>
        <v>-404394.66085714282</v>
      </c>
      <c r="AE13" s="86">
        <f t="shared" si="10"/>
        <v>-443906.85657142854</v>
      </c>
    </row>
    <row r="14" spans="2:31" x14ac:dyDescent="0.25">
      <c r="B14" s="35" t="s">
        <v>77</v>
      </c>
      <c r="C14" s="35">
        <f>C5*30%</f>
        <v>1591.2</v>
      </c>
      <c r="D14" s="35">
        <f t="shared" ref="D14:N14" si="11">D5*30%</f>
        <v>1591.2</v>
      </c>
      <c r="E14" s="35">
        <f t="shared" si="11"/>
        <v>1591.2</v>
      </c>
      <c r="F14" s="35">
        <f t="shared" si="11"/>
        <v>1591.2</v>
      </c>
      <c r="G14" s="35">
        <f t="shared" si="11"/>
        <v>1591.2</v>
      </c>
      <c r="H14" s="35">
        <f t="shared" si="11"/>
        <v>1591.2</v>
      </c>
      <c r="I14" s="35">
        <f t="shared" si="11"/>
        <v>1591.2</v>
      </c>
      <c r="J14" s="35">
        <f t="shared" si="11"/>
        <v>1591.2</v>
      </c>
      <c r="K14" s="35">
        <f t="shared" si="11"/>
        <v>1591.2</v>
      </c>
      <c r="L14" s="35">
        <f t="shared" si="11"/>
        <v>1591.2</v>
      </c>
      <c r="M14" s="35">
        <f t="shared" si="11"/>
        <v>1591.2</v>
      </c>
      <c r="N14" s="35">
        <f t="shared" si="11"/>
        <v>1591.2</v>
      </c>
      <c r="O14" s="60" t="s">
        <v>78</v>
      </c>
      <c r="P14" s="61">
        <f>SUM(C14:N14)</f>
        <v>19094.400000000005</v>
      </c>
      <c r="S14" s="87" t="s">
        <v>133</v>
      </c>
      <c r="T14" s="86">
        <f>T9-T12</f>
        <v>-47323.897142857139</v>
      </c>
      <c r="U14" s="86">
        <f t="shared" ref="U14:AE14" si="12">U9-U12</f>
        <v>-40638.742857142861</v>
      </c>
      <c r="V14" s="86">
        <f t="shared" si="12"/>
        <v>-44841.718857142856</v>
      </c>
      <c r="W14" s="86">
        <f t="shared" si="12"/>
        <v>-40866.637714285716</v>
      </c>
      <c r="X14" s="86">
        <f t="shared" si="12"/>
        <v>-39512.485714285707</v>
      </c>
      <c r="Y14" s="86">
        <f t="shared" si="12"/>
        <v>-39512.095714285708</v>
      </c>
      <c r="Z14" s="86">
        <f t="shared" si="12"/>
        <v>-39512.565714285709</v>
      </c>
      <c r="AA14" s="86">
        <f t="shared" si="12"/>
        <v>-39512.125714285707</v>
      </c>
      <c r="AB14" s="86">
        <f t="shared" si="12"/>
        <v>-39512.195714285714</v>
      </c>
      <c r="AC14" s="86">
        <f t="shared" si="12"/>
        <v>-39512.195714285714</v>
      </c>
      <c r="AD14" s="86">
        <f t="shared" si="12"/>
        <v>-39512.195714285714</v>
      </c>
      <c r="AE14" s="86">
        <f t="shared" si="12"/>
        <v>30731.910000000003</v>
      </c>
    </row>
    <row r="15" spans="2:31" x14ac:dyDescent="0.25">
      <c r="B15" s="34" t="s">
        <v>79</v>
      </c>
      <c r="C15" s="34">
        <f>C14*20%</f>
        <v>318.24</v>
      </c>
      <c r="D15" s="34">
        <f t="shared" ref="D15:N15" si="13">D14*20%</f>
        <v>318.24</v>
      </c>
      <c r="E15" s="34">
        <f t="shared" si="13"/>
        <v>318.24</v>
      </c>
      <c r="F15" s="34">
        <f t="shared" si="13"/>
        <v>318.24</v>
      </c>
      <c r="G15" s="34">
        <f t="shared" si="13"/>
        <v>318.24</v>
      </c>
      <c r="H15" s="34">
        <f t="shared" si="13"/>
        <v>318.24</v>
      </c>
      <c r="I15" s="34">
        <f t="shared" si="13"/>
        <v>318.24</v>
      </c>
      <c r="J15" s="34">
        <f t="shared" si="13"/>
        <v>318.24</v>
      </c>
      <c r="K15" s="34">
        <f t="shared" si="13"/>
        <v>318.24</v>
      </c>
      <c r="L15" s="34">
        <f t="shared" si="13"/>
        <v>318.24</v>
      </c>
      <c r="M15" s="34">
        <f t="shared" si="13"/>
        <v>318.24</v>
      </c>
      <c r="N15" s="34">
        <f t="shared" si="13"/>
        <v>318.24</v>
      </c>
      <c r="O15" s="34"/>
      <c r="P15" s="34"/>
      <c r="S15" s="87" t="s">
        <v>214</v>
      </c>
      <c r="T15" s="86">
        <f>T13+T14</f>
        <v>-40973.897142857139</v>
      </c>
      <c r="U15" s="86">
        <f t="shared" ref="U15:AE15" si="14">U13+U14</f>
        <v>-81612.639999999999</v>
      </c>
      <c r="V15" s="86">
        <f t="shared" si="14"/>
        <v>-126454.35885714286</v>
      </c>
      <c r="W15" s="86">
        <f t="shared" si="14"/>
        <v>-167320.99657142858</v>
      </c>
      <c r="X15" s="86">
        <f t="shared" si="14"/>
        <v>-206833.4822857143</v>
      </c>
      <c r="Y15" s="86">
        <f t="shared" si="14"/>
        <v>-246345.57800000001</v>
      </c>
      <c r="Z15" s="86">
        <f t="shared" si="14"/>
        <v>-285858.14371428569</v>
      </c>
      <c r="AA15" s="86">
        <f t="shared" si="14"/>
        <v>-325370.2694285714</v>
      </c>
      <c r="AB15" s="86">
        <f t="shared" si="14"/>
        <v>-364882.46514285711</v>
      </c>
      <c r="AC15" s="86">
        <f t="shared" si="14"/>
        <v>-404394.66085714282</v>
      </c>
      <c r="AD15" s="86">
        <f t="shared" si="14"/>
        <v>-443906.85657142854</v>
      </c>
      <c r="AE15" s="86">
        <f t="shared" si="14"/>
        <v>-413174.94657142856</v>
      </c>
    </row>
    <row r="16" spans="2:31" x14ac:dyDescent="0.25">
      <c r="B16" s="84" t="s">
        <v>80</v>
      </c>
      <c r="C16" s="84">
        <f>C14+C15</f>
        <v>1909.44</v>
      </c>
      <c r="D16" s="84">
        <f t="shared" ref="D16:N16" si="15">D14+D15</f>
        <v>1909.44</v>
      </c>
      <c r="E16" s="84">
        <f t="shared" si="15"/>
        <v>1909.44</v>
      </c>
      <c r="F16" s="84">
        <f t="shared" si="15"/>
        <v>1909.44</v>
      </c>
      <c r="G16" s="84">
        <f t="shared" si="15"/>
        <v>1909.44</v>
      </c>
      <c r="H16" s="84">
        <f t="shared" si="15"/>
        <v>1909.44</v>
      </c>
      <c r="I16" s="84">
        <f t="shared" si="15"/>
        <v>1909.44</v>
      </c>
      <c r="J16" s="84">
        <f t="shared" si="15"/>
        <v>1909.44</v>
      </c>
      <c r="K16" s="84">
        <f t="shared" si="15"/>
        <v>1909.44</v>
      </c>
      <c r="L16" s="84">
        <f t="shared" si="15"/>
        <v>1909.44</v>
      </c>
      <c r="M16" s="84">
        <f t="shared" si="15"/>
        <v>1909.44</v>
      </c>
      <c r="N16" s="84">
        <f t="shared" si="15"/>
        <v>1909.44</v>
      </c>
      <c r="O16" s="84"/>
      <c r="P16" s="84"/>
    </row>
    <row r="17" spans="2:16" x14ac:dyDescent="0.25">
      <c r="B17" s="59" t="s">
        <v>81</v>
      </c>
      <c r="C17" s="59">
        <f>C16+'Bilan et CDR N'!K15</f>
        <v>32909.440000000002</v>
      </c>
      <c r="D17" s="59">
        <f>D16</f>
        <v>1909.44</v>
      </c>
      <c r="E17" s="59">
        <f t="shared" ref="E17:N17" si="16">E16</f>
        <v>1909.44</v>
      </c>
      <c r="F17" s="59">
        <f t="shared" si="16"/>
        <v>1909.44</v>
      </c>
      <c r="G17" s="59">
        <f t="shared" si="16"/>
        <v>1909.44</v>
      </c>
      <c r="H17" s="59">
        <f t="shared" si="16"/>
        <v>1909.44</v>
      </c>
      <c r="I17" s="59">
        <f t="shared" si="16"/>
        <v>1909.44</v>
      </c>
      <c r="J17" s="59">
        <f t="shared" si="16"/>
        <v>1909.44</v>
      </c>
      <c r="K17" s="59">
        <f t="shared" si="16"/>
        <v>1909.44</v>
      </c>
      <c r="L17" s="59">
        <f t="shared" si="16"/>
        <v>1909.44</v>
      </c>
      <c r="M17" s="59">
        <f t="shared" si="16"/>
        <v>1909.44</v>
      </c>
      <c r="N17" s="59">
        <f t="shared" si="16"/>
        <v>1909.44</v>
      </c>
      <c r="O17" s="60" t="s">
        <v>82</v>
      </c>
      <c r="P17" s="61">
        <v>0</v>
      </c>
    </row>
    <row r="18" spans="2:16" x14ac:dyDescent="0.25"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</row>
    <row r="19" spans="2:16" x14ac:dyDescent="0.25"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</row>
    <row r="20" spans="2:16" x14ac:dyDescent="0.25">
      <c r="B20" s="267" t="s">
        <v>83</v>
      </c>
      <c r="C20" s="267"/>
      <c r="D20" s="267"/>
      <c r="E20" s="267"/>
      <c r="F20" s="267"/>
      <c r="G20" s="267"/>
      <c r="H20" s="267"/>
      <c r="I20" s="267"/>
      <c r="J20" s="267"/>
      <c r="K20" s="267"/>
      <c r="L20" s="267"/>
      <c r="M20" s="267"/>
      <c r="N20" s="267"/>
      <c r="O20" s="267"/>
      <c r="P20" s="267"/>
    </row>
    <row r="21" spans="2:16" x14ac:dyDescent="0.25">
      <c r="B21" s="213"/>
      <c r="C21" s="215" t="s">
        <v>50</v>
      </c>
      <c r="D21" s="215" t="s">
        <v>51</v>
      </c>
      <c r="E21" s="215" t="s">
        <v>52</v>
      </c>
      <c r="F21" s="215" t="s">
        <v>53</v>
      </c>
      <c r="G21" s="215" t="s">
        <v>54</v>
      </c>
      <c r="H21" s="215" t="s">
        <v>55</v>
      </c>
      <c r="I21" s="215" t="s">
        <v>56</v>
      </c>
      <c r="J21" s="215" t="s">
        <v>57</v>
      </c>
      <c r="K21" s="215" t="s">
        <v>58</v>
      </c>
      <c r="L21" s="215" t="s">
        <v>59</v>
      </c>
      <c r="M21" s="215" t="s">
        <v>60</v>
      </c>
      <c r="N21" s="215" t="s">
        <v>61</v>
      </c>
      <c r="O21" s="220" t="s">
        <v>62</v>
      </c>
      <c r="P21" s="221"/>
    </row>
    <row r="22" spans="2:16" x14ac:dyDescent="0.25">
      <c r="B22" s="214"/>
      <c r="C22" s="216"/>
      <c r="D22" s="216"/>
      <c r="E22" s="216"/>
      <c r="F22" s="216"/>
      <c r="G22" s="216"/>
      <c r="H22" s="216"/>
      <c r="I22" s="216"/>
      <c r="J22" s="216"/>
      <c r="K22" s="216"/>
      <c r="L22" s="216"/>
      <c r="M22" s="216"/>
      <c r="N22" s="216"/>
      <c r="O22" s="58" t="s">
        <v>64</v>
      </c>
      <c r="P22" s="58" t="s">
        <v>65</v>
      </c>
    </row>
    <row r="23" spans="2:16" x14ac:dyDescent="0.25">
      <c r="B23" s="35" t="s">
        <v>84</v>
      </c>
      <c r="C23" s="35">
        <v>7100</v>
      </c>
      <c r="D23" s="35">
        <v>7100</v>
      </c>
      <c r="E23" s="35">
        <v>7100</v>
      </c>
      <c r="F23" s="35">
        <v>7100</v>
      </c>
      <c r="G23" s="35">
        <v>7100</v>
      </c>
      <c r="H23" s="35">
        <v>7100</v>
      </c>
      <c r="I23" s="35">
        <v>7100</v>
      </c>
      <c r="J23" s="35">
        <v>7100</v>
      </c>
      <c r="K23" s="35">
        <v>7100</v>
      </c>
      <c r="L23" s="35">
        <v>7100</v>
      </c>
      <c r="M23" s="35">
        <v>7100</v>
      </c>
      <c r="N23" s="35">
        <v>7100</v>
      </c>
      <c r="O23" s="60" t="s">
        <v>85</v>
      </c>
      <c r="P23" s="61">
        <f>SUM(C23:N23)</f>
        <v>85200</v>
      </c>
    </row>
    <row r="24" spans="2:16" x14ac:dyDescent="0.25">
      <c r="B24" s="34" t="s">
        <v>86</v>
      </c>
      <c r="C24" s="34">
        <f>C23*20%</f>
        <v>1420</v>
      </c>
      <c r="D24" s="34">
        <f t="shared" ref="D24:N24" si="17">D23*20%</f>
        <v>1420</v>
      </c>
      <c r="E24" s="34">
        <f t="shared" si="17"/>
        <v>1420</v>
      </c>
      <c r="F24" s="34">
        <f t="shared" si="17"/>
        <v>1420</v>
      </c>
      <c r="G24" s="34">
        <f t="shared" si="17"/>
        <v>1420</v>
      </c>
      <c r="H24" s="34">
        <f t="shared" si="17"/>
        <v>1420</v>
      </c>
      <c r="I24" s="34">
        <f t="shared" si="17"/>
        <v>1420</v>
      </c>
      <c r="J24" s="34">
        <f t="shared" si="17"/>
        <v>1420</v>
      </c>
      <c r="K24" s="34">
        <f t="shared" si="17"/>
        <v>1420</v>
      </c>
      <c r="L24" s="34">
        <f t="shared" si="17"/>
        <v>1420</v>
      </c>
      <c r="M24" s="34">
        <f t="shared" si="17"/>
        <v>1420</v>
      </c>
      <c r="N24" s="34">
        <f t="shared" si="17"/>
        <v>1420</v>
      </c>
      <c r="O24" s="34"/>
      <c r="P24" s="34"/>
    </row>
    <row r="25" spans="2:16" x14ac:dyDescent="0.25">
      <c r="B25" s="34" t="s">
        <v>87</v>
      </c>
      <c r="C25" s="34">
        <f>C23+C24</f>
        <v>8520</v>
      </c>
      <c r="D25" s="34">
        <f t="shared" ref="D25:N25" si="18">D23+D24</f>
        <v>8520</v>
      </c>
      <c r="E25" s="34">
        <f t="shared" si="18"/>
        <v>8520</v>
      </c>
      <c r="F25" s="34">
        <f t="shared" si="18"/>
        <v>8520</v>
      </c>
      <c r="G25" s="34">
        <f t="shared" si="18"/>
        <v>8520</v>
      </c>
      <c r="H25" s="34">
        <f t="shared" si="18"/>
        <v>8520</v>
      </c>
      <c r="I25" s="34">
        <f t="shared" si="18"/>
        <v>8520</v>
      </c>
      <c r="J25" s="34">
        <f t="shared" si="18"/>
        <v>8520</v>
      </c>
      <c r="K25" s="34">
        <f t="shared" si="18"/>
        <v>8520</v>
      </c>
      <c r="L25" s="34">
        <f t="shared" si="18"/>
        <v>8520</v>
      </c>
      <c r="M25" s="34">
        <f t="shared" si="18"/>
        <v>8520</v>
      </c>
      <c r="N25" s="34">
        <f t="shared" si="18"/>
        <v>8520</v>
      </c>
      <c r="O25" s="34"/>
      <c r="P25" s="34"/>
    </row>
    <row r="26" spans="2:16" x14ac:dyDescent="0.25">
      <c r="B26" s="59" t="s">
        <v>81</v>
      </c>
      <c r="C26" s="59">
        <f>+C23+C24</f>
        <v>8520</v>
      </c>
      <c r="D26" s="59">
        <f t="shared" ref="D26:N26" si="19">+D23+D24</f>
        <v>8520</v>
      </c>
      <c r="E26" s="59">
        <f t="shared" si="19"/>
        <v>8520</v>
      </c>
      <c r="F26" s="59">
        <f t="shared" si="19"/>
        <v>8520</v>
      </c>
      <c r="G26" s="59">
        <f t="shared" si="19"/>
        <v>8520</v>
      </c>
      <c r="H26" s="59">
        <f t="shared" si="19"/>
        <v>8520</v>
      </c>
      <c r="I26" s="59">
        <f t="shared" si="19"/>
        <v>8520</v>
      </c>
      <c r="J26" s="59">
        <f t="shared" si="19"/>
        <v>8520</v>
      </c>
      <c r="K26" s="59">
        <f t="shared" si="19"/>
        <v>8520</v>
      </c>
      <c r="L26" s="59">
        <f t="shared" si="19"/>
        <v>8520</v>
      </c>
      <c r="M26" s="59">
        <f t="shared" si="19"/>
        <v>8520</v>
      </c>
      <c r="N26" s="59">
        <f t="shared" si="19"/>
        <v>8520</v>
      </c>
      <c r="O26" s="34"/>
      <c r="P26" s="34"/>
    </row>
    <row r="27" spans="2:16" x14ac:dyDescent="0.25">
      <c r="B27" s="34" t="s">
        <v>89</v>
      </c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>
        <v>7500</v>
      </c>
      <c r="O27" s="60"/>
      <c r="P27" s="61"/>
    </row>
    <row r="28" spans="2:16" x14ac:dyDescent="0.25">
      <c r="B28" s="34" t="s">
        <v>92</v>
      </c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>
        <f>P28</f>
        <v>3214.2857142857142</v>
      </c>
      <c r="O28" s="60" t="s">
        <v>90</v>
      </c>
      <c r="P28" s="61">
        <f>Emprunt!K5</f>
        <v>3214.2857142857142</v>
      </c>
    </row>
    <row r="29" spans="2:16" x14ac:dyDescent="0.25">
      <c r="B29" s="59" t="s">
        <v>94</v>
      </c>
      <c r="C29" s="59">
        <f>C27+C28</f>
        <v>0</v>
      </c>
      <c r="D29" s="59">
        <f t="shared" ref="D29:N29" si="20">D27+D28</f>
        <v>0</v>
      </c>
      <c r="E29" s="59">
        <f t="shared" si="20"/>
        <v>0</v>
      </c>
      <c r="F29" s="59">
        <f t="shared" si="20"/>
        <v>0</v>
      </c>
      <c r="G29" s="59">
        <f t="shared" si="20"/>
        <v>0</v>
      </c>
      <c r="H29" s="59">
        <f t="shared" si="20"/>
        <v>0</v>
      </c>
      <c r="I29" s="59">
        <f t="shared" si="20"/>
        <v>0</v>
      </c>
      <c r="J29" s="59">
        <f t="shared" si="20"/>
        <v>0</v>
      </c>
      <c r="K29" s="59">
        <f t="shared" si="20"/>
        <v>0</v>
      </c>
      <c r="L29" s="59">
        <f t="shared" si="20"/>
        <v>0</v>
      </c>
      <c r="M29" s="59">
        <f t="shared" si="20"/>
        <v>0</v>
      </c>
      <c r="N29" s="59">
        <f t="shared" si="20"/>
        <v>10714.285714285714</v>
      </c>
      <c r="O29" s="34" t="s">
        <v>93</v>
      </c>
      <c r="P29" s="34">
        <f>SUM(C29:N29)</f>
        <v>10714.285714285714</v>
      </c>
    </row>
    <row r="30" spans="2:16" x14ac:dyDescent="0.25">
      <c r="B30" s="34" t="s">
        <v>95</v>
      </c>
      <c r="C30" s="34">
        <f t="shared" ref="C30:N30" si="21">307500/12</f>
        <v>25625</v>
      </c>
      <c r="D30" s="34">
        <f t="shared" si="21"/>
        <v>25625</v>
      </c>
      <c r="E30" s="34">
        <f t="shared" si="21"/>
        <v>25625</v>
      </c>
      <c r="F30" s="34">
        <f t="shared" si="21"/>
        <v>25625</v>
      </c>
      <c r="G30" s="34">
        <f t="shared" si="21"/>
        <v>25625</v>
      </c>
      <c r="H30" s="34">
        <f t="shared" si="21"/>
        <v>25625</v>
      </c>
      <c r="I30" s="34">
        <f t="shared" si="21"/>
        <v>25625</v>
      </c>
      <c r="J30" s="34">
        <f t="shared" si="21"/>
        <v>25625</v>
      </c>
      <c r="K30" s="34">
        <f t="shared" si="21"/>
        <v>25625</v>
      </c>
      <c r="L30" s="34">
        <f t="shared" si="21"/>
        <v>25625</v>
      </c>
      <c r="M30" s="34">
        <f t="shared" si="21"/>
        <v>25625</v>
      </c>
      <c r="N30" s="34">
        <f t="shared" si="21"/>
        <v>25625</v>
      </c>
      <c r="O30" s="37"/>
      <c r="P30" s="37"/>
    </row>
    <row r="31" spans="2:16" x14ac:dyDescent="0.25">
      <c r="B31" s="59" t="s">
        <v>96</v>
      </c>
      <c r="C31" s="59">
        <f t="shared" ref="C31:N31" si="22">C30</f>
        <v>25625</v>
      </c>
      <c r="D31" s="59">
        <f t="shared" si="22"/>
        <v>25625</v>
      </c>
      <c r="E31" s="59">
        <f t="shared" si="22"/>
        <v>25625</v>
      </c>
      <c r="F31" s="59">
        <f t="shared" si="22"/>
        <v>25625</v>
      </c>
      <c r="G31" s="59">
        <f t="shared" si="22"/>
        <v>25625</v>
      </c>
      <c r="H31" s="59">
        <f t="shared" si="22"/>
        <v>25625</v>
      </c>
      <c r="I31" s="59">
        <f t="shared" si="22"/>
        <v>25625</v>
      </c>
      <c r="J31" s="59">
        <f t="shared" si="22"/>
        <v>25625</v>
      </c>
      <c r="K31" s="59">
        <f t="shared" si="22"/>
        <v>25625</v>
      </c>
      <c r="L31" s="59">
        <f t="shared" si="22"/>
        <v>25625</v>
      </c>
      <c r="M31" s="59">
        <f t="shared" si="22"/>
        <v>25625</v>
      </c>
      <c r="N31" s="59">
        <f t="shared" si="22"/>
        <v>25625</v>
      </c>
      <c r="O31" s="60" t="s">
        <v>97</v>
      </c>
      <c r="P31" s="61">
        <f>SUM(C31:N31)</f>
        <v>307500</v>
      </c>
    </row>
    <row r="32" spans="2:16" x14ac:dyDescent="0.25">
      <c r="B32" s="34" t="s">
        <v>21</v>
      </c>
      <c r="C32" s="34">
        <f t="shared" ref="C32:N32" si="23">C30*0.4</f>
        <v>10250</v>
      </c>
      <c r="D32" s="34">
        <f t="shared" si="23"/>
        <v>10250</v>
      </c>
      <c r="E32" s="34">
        <f t="shared" si="23"/>
        <v>10250</v>
      </c>
      <c r="F32" s="34">
        <f t="shared" si="23"/>
        <v>10250</v>
      </c>
      <c r="G32" s="34">
        <f t="shared" si="23"/>
        <v>10250</v>
      </c>
      <c r="H32" s="34">
        <f t="shared" si="23"/>
        <v>10250</v>
      </c>
      <c r="I32" s="34">
        <f t="shared" si="23"/>
        <v>10250</v>
      </c>
      <c r="J32" s="34">
        <f t="shared" si="23"/>
        <v>10250</v>
      </c>
      <c r="K32" s="34">
        <f t="shared" si="23"/>
        <v>10250</v>
      </c>
      <c r="L32" s="34">
        <f t="shared" si="23"/>
        <v>10250</v>
      </c>
      <c r="M32" s="34">
        <f t="shared" si="23"/>
        <v>10250</v>
      </c>
      <c r="N32" s="34">
        <f t="shared" si="23"/>
        <v>10250</v>
      </c>
      <c r="O32" s="60" t="s">
        <v>98</v>
      </c>
      <c r="P32" s="61">
        <f>SUM(C32:N32)</f>
        <v>123000</v>
      </c>
    </row>
    <row r="33" spans="2:31" x14ac:dyDescent="0.25">
      <c r="B33" s="59" t="s">
        <v>99</v>
      </c>
      <c r="C33" s="59">
        <v>16000</v>
      </c>
      <c r="D33" s="59">
        <f t="shared" ref="D33:N33" si="24">C32</f>
        <v>10250</v>
      </c>
      <c r="E33" s="59">
        <f t="shared" si="24"/>
        <v>10250</v>
      </c>
      <c r="F33" s="59">
        <f t="shared" si="24"/>
        <v>10250</v>
      </c>
      <c r="G33" s="59">
        <f t="shared" si="24"/>
        <v>10250</v>
      </c>
      <c r="H33" s="59">
        <f t="shared" si="24"/>
        <v>10250</v>
      </c>
      <c r="I33" s="59">
        <f t="shared" si="24"/>
        <v>10250</v>
      </c>
      <c r="J33" s="59">
        <f t="shared" si="24"/>
        <v>10250</v>
      </c>
      <c r="K33" s="59">
        <f t="shared" si="24"/>
        <v>10250</v>
      </c>
      <c r="L33" s="59">
        <f t="shared" si="24"/>
        <v>10250</v>
      </c>
      <c r="M33" s="59">
        <f t="shared" si="24"/>
        <v>10250</v>
      </c>
      <c r="N33" s="59">
        <f t="shared" si="24"/>
        <v>10250</v>
      </c>
      <c r="O33" s="60" t="s">
        <v>100</v>
      </c>
      <c r="P33" s="61">
        <f>N32</f>
        <v>10250</v>
      </c>
    </row>
    <row r="34" spans="2:31" x14ac:dyDescent="0.25"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</row>
    <row r="35" spans="2:31" x14ac:dyDescent="0.25"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</row>
    <row r="36" spans="2:31" x14ac:dyDescent="0.25">
      <c r="B36" s="267" t="s">
        <v>101</v>
      </c>
      <c r="C36" s="267"/>
      <c r="D36" s="267"/>
      <c r="E36" s="267"/>
      <c r="F36" s="267"/>
      <c r="G36" s="267"/>
      <c r="H36" s="267"/>
      <c r="I36" s="267"/>
      <c r="J36" s="267"/>
      <c r="K36" s="267"/>
      <c r="L36" s="267"/>
      <c r="M36" s="267"/>
      <c r="N36" s="267"/>
      <c r="O36" s="267"/>
      <c r="P36" s="267"/>
    </row>
    <row r="37" spans="2:31" x14ac:dyDescent="0.25">
      <c r="B37" s="213"/>
      <c r="C37" s="215" t="s">
        <v>50</v>
      </c>
      <c r="D37" s="215" t="s">
        <v>51</v>
      </c>
      <c r="E37" s="215" t="s">
        <v>52</v>
      </c>
      <c r="F37" s="215" t="s">
        <v>53</v>
      </c>
      <c r="G37" s="215" t="s">
        <v>54</v>
      </c>
      <c r="H37" s="215" t="s">
        <v>55</v>
      </c>
      <c r="I37" s="215" t="s">
        <v>56</v>
      </c>
      <c r="J37" s="215" t="s">
        <v>57</v>
      </c>
      <c r="K37" s="215" t="s">
        <v>58</v>
      </c>
      <c r="L37" s="215" t="s">
        <v>59</v>
      </c>
      <c r="M37" s="215" t="s">
        <v>60</v>
      </c>
      <c r="N37" s="215" t="s">
        <v>61</v>
      </c>
      <c r="O37" s="220" t="s">
        <v>62</v>
      </c>
      <c r="P37" s="221"/>
    </row>
    <row r="38" spans="2:31" x14ac:dyDescent="0.25">
      <c r="B38" s="214"/>
      <c r="C38" s="216"/>
      <c r="D38" s="216"/>
      <c r="E38" s="216"/>
      <c r="F38" s="216"/>
      <c r="G38" s="216"/>
      <c r="H38" s="216"/>
      <c r="I38" s="216"/>
      <c r="J38" s="216"/>
      <c r="K38" s="216"/>
      <c r="L38" s="216"/>
      <c r="M38" s="216"/>
      <c r="N38" s="216"/>
      <c r="O38" s="58" t="s">
        <v>64</v>
      </c>
      <c r="P38" s="58" t="s">
        <v>65</v>
      </c>
    </row>
    <row r="39" spans="2:31" x14ac:dyDescent="0.25">
      <c r="B39" s="46" t="s">
        <v>102</v>
      </c>
      <c r="C39" s="35"/>
      <c r="D39" s="35"/>
      <c r="E39" s="35"/>
      <c r="F39" s="35"/>
      <c r="G39" s="35"/>
      <c r="H39" s="35"/>
      <c r="I39" s="35"/>
      <c r="J39" s="35"/>
      <c r="K39" s="35"/>
      <c r="L39" s="35">
        <v>8200</v>
      </c>
      <c r="M39" s="35"/>
      <c r="N39" s="35"/>
      <c r="O39" s="60" t="s">
        <v>103</v>
      </c>
      <c r="P39" s="61">
        <f>SUM(C39:N39)</f>
        <v>8200</v>
      </c>
    </row>
    <row r="40" spans="2:31" x14ac:dyDescent="0.25">
      <c r="B40" s="34" t="s">
        <v>105</v>
      </c>
      <c r="C40" s="34"/>
      <c r="D40" s="34"/>
      <c r="E40" s="34"/>
      <c r="F40" s="34"/>
      <c r="G40" s="34"/>
      <c r="H40" s="34"/>
      <c r="I40" s="34"/>
      <c r="J40" s="34"/>
      <c r="K40" s="34"/>
      <c r="L40" s="34">
        <v>8200</v>
      </c>
      <c r="M40" s="34"/>
      <c r="N40" s="34"/>
      <c r="O40" s="34"/>
      <c r="P40" s="34"/>
    </row>
    <row r="41" spans="2:31" x14ac:dyDescent="0.25">
      <c r="B41" s="34" t="s">
        <v>106</v>
      </c>
      <c r="C41" s="34">
        <f>$P$41/12</f>
        <v>350</v>
      </c>
      <c r="D41" s="34">
        <f t="shared" ref="D41:N41" si="25">$P$41/12</f>
        <v>350</v>
      </c>
      <c r="E41" s="34">
        <f t="shared" si="25"/>
        <v>350</v>
      </c>
      <c r="F41" s="34">
        <f t="shared" si="25"/>
        <v>350</v>
      </c>
      <c r="G41" s="34">
        <f t="shared" si="25"/>
        <v>350</v>
      </c>
      <c r="H41" s="34">
        <f t="shared" si="25"/>
        <v>350</v>
      </c>
      <c r="I41" s="34">
        <f t="shared" si="25"/>
        <v>350</v>
      </c>
      <c r="J41" s="34">
        <f t="shared" si="25"/>
        <v>350</v>
      </c>
      <c r="K41" s="34">
        <f t="shared" si="25"/>
        <v>350</v>
      </c>
      <c r="L41" s="34">
        <f t="shared" si="25"/>
        <v>350</v>
      </c>
      <c r="M41" s="34">
        <f t="shared" si="25"/>
        <v>350</v>
      </c>
      <c r="N41" s="34">
        <f t="shared" si="25"/>
        <v>350</v>
      </c>
      <c r="O41" s="60" t="s">
        <v>107</v>
      </c>
      <c r="P41" s="61">
        <f>Informations!D26</f>
        <v>4200</v>
      </c>
    </row>
    <row r="42" spans="2:31" x14ac:dyDescent="0.25">
      <c r="B42" s="34" t="s">
        <v>108</v>
      </c>
      <c r="C42" s="34">
        <f>$P$42/12</f>
        <v>5000</v>
      </c>
      <c r="D42" s="34">
        <f t="shared" ref="D42:N42" si="26">$P$42/12</f>
        <v>5000</v>
      </c>
      <c r="E42" s="34">
        <f t="shared" si="26"/>
        <v>5000</v>
      </c>
      <c r="F42" s="34">
        <f t="shared" si="26"/>
        <v>5000</v>
      </c>
      <c r="G42" s="34">
        <f t="shared" si="26"/>
        <v>5000</v>
      </c>
      <c r="H42" s="34">
        <f t="shared" si="26"/>
        <v>5000</v>
      </c>
      <c r="I42" s="34">
        <f t="shared" si="26"/>
        <v>5000</v>
      </c>
      <c r="J42" s="34">
        <f t="shared" si="26"/>
        <v>5000</v>
      </c>
      <c r="K42" s="34">
        <f t="shared" si="26"/>
        <v>5000</v>
      </c>
      <c r="L42" s="34">
        <f t="shared" si="26"/>
        <v>5000</v>
      </c>
      <c r="M42" s="34">
        <f t="shared" si="26"/>
        <v>5000</v>
      </c>
      <c r="N42" s="34">
        <f t="shared" si="26"/>
        <v>5000</v>
      </c>
      <c r="O42" s="60" t="s">
        <v>109</v>
      </c>
      <c r="P42" s="61">
        <f>Informations!E26</f>
        <v>60000</v>
      </c>
    </row>
    <row r="43" spans="2:31" x14ac:dyDescent="0.25">
      <c r="B43" s="59" t="s">
        <v>71</v>
      </c>
      <c r="C43" s="59">
        <f t="shared" ref="C43:N43" si="27">C41+C42</f>
        <v>5350</v>
      </c>
      <c r="D43" s="59">
        <f t="shared" si="27"/>
        <v>5350</v>
      </c>
      <c r="E43" s="59">
        <f t="shared" si="27"/>
        <v>5350</v>
      </c>
      <c r="F43" s="59">
        <f t="shared" si="27"/>
        <v>5350</v>
      </c>
      <c r="G43" s="59">
        <f t="shared" si="27"/>
        <v>5350</v>
      </c>
      <c r="H43" s="59">
        <f t="shared" si="27"/>
        <v>5350</v>
      </c>
      <c r="I43" s="59">
        <f t="shared" si="27"/>
        <v>5350</v>
      </c>
      <c r="J43" s="59">
        <f t="shared" si="27"/>
        <v>5350</v>
      </c>
      <c r="K43" s="59">
        <f t="shared" si="27"/>
        <v>5350</v>
      </c>
      <c r="L43" s="59">
        <f t="shared" si="27"/>
        <v>5350</v>
      </c>
      <c r="M43" s="59">
        <f t="shared" si="27"/>
        <v>5350</v>
      </c>
      <c r="N43" s="59">
        <f t="shared" si="27"/>
        <v>5350</v>
      </c>
      <c r="O43" s="38"/>
      <c r="P43" s="38"/>
    </row>
    <row r="44" spans="2:31" x14ac:dyDescent="0.25"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</row>
    <row r="45" spans="2:31" x14ac:dyDescent="0.25"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S45" s="283" t="s">
        <v>203</v>
      </c>
      <c r="T45" s="283" t="s">
        <v>50</v>
      </c>
      <c r="U45" s="283" t="s">
        <v>51</v>
      </c>
      <c r="V45" s="283" t="s">
        <v>52</v>
      </c>
      <c r="W45" s="283" t="s">
        <v>53</v>
      </c>
      <c r="X45" s="283" t="s">
        <v>54</v>
      </c>
      <c r="Y45" s="283" t="s">
        <v>55</v>
      </c>
      <c r="Z45" s="283" t="s">
        <v>56</v>
      </c>
      <c r="AA45" s="283" t="s">
        <v>57</v>
      </c>
      <c r="AB45" s="283" t="s">
        <v>58</v>
      </c>
      <c r="AC45" s="283" t="s">
        <v>59</v>
      </c>
      <c r="AD45" s="283" t="s">
        <v>60</v>
      </c>
      <c r="AE45" s="283" t="s">
        <v>61</v>
      </c>
    </row>
    <row r="46" spans="2:31" x14ac:dyDescent="0.25">
      <c r="B46" s="36" t="s">
        <v>110</v>
      </c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S46" s="283"/>
      <c r="T46" s="283"/>
      <c r="U46" s="283"/>
      <c r="V46" s="283"/>
      <c r="W46" s="283"/>
      <c r="X46" s="283"/>
      <c r="Y46" s="283"/>
      <c r="Z46" s="283"/>
      <c r="AA46" s="283"/>
      <c r="AB46" s="283"/>
      <c r="AC46" s="283"/>
      <c r="AD46" s="283"/>
      <c r="AE46" s="283"/>
    </row>
    <row r="47" spans="2:31" x14ac:dyDescent="0.25">
      <c r="B47" s="213"/>
      <c r="C47" s="215" t="s">
        <v>50</v>
      </c>
      <c r="D47" s="215" t="s">
        <v>51</v>
      </c>
      <c r="E47" s="215" t="s">
        <v>52</v>
      </c>
      <c r="F47" s="215" t="s">
        <v>53</v>
      </c>
      <c r="G47" s="215" t="s">
        <v>54</v>
      </c>
      <c r="H47" s="215" t="s">
        <v>55</v>
      </c>
      <c r="I47" s="215" t="s">
        <v>56</v>
      </c>
      <c r="J47" s="215" t="s">
        <v>57</v>
      </c>
      <c r="K47" s="215" t="s">
        <v>58</v>
      </c>
      <c r="L47" s="215" t="s">
        <v>59</v>
      </c>
      <c r="M47" s="215" t="s">
        <v>60</v>
      </c>
      <c r="N47" s="215" t="s">
        <v>61</v>
      </c>
      <c r="O47" s="220" t="s">
        <v>62</v>
      </c>
      <c r="P47" s="221"/>
      <c r="S47" s="88" t="s">
        <v>204</v>
      </c>
      <c r="T47" s="89">
        <f t="shared" ref="T47:AE47" si="28">C72</f>
        <v>78000</v>
      </c>
      <c r="U47" s="89">
        <f t="shared" si="28"/>
        <v>6364.8</v>
      </c>
      <c r="V47" s="89">
        <f t="shared" si="28"/>
        <v>36364.800000000003</v>
      </c>
      <c r="W47" s="89">
        <f t="shared" si="28"/>
        <v>6364.8</v>
      </c>
      <c r="X47" s="89">
        <f t="shared" si="28"/>
        <v>6364.8</v>
      </c>
      <c r="Y47" s="89">
        <f t="shared" si="28"/>
        <v>7864.8</v>
      </c>
      <c r="Z47" s="89">
        <f t="shared" si="28"/>
        <v>6364.8</v>
      </c>
      <c r="AA47" s="89">
        <f t="shared" si="28"/>
        <v>6364.8</v>
      </c>
      <c r="AB47" s="89">
        <f t="shared" si="28"/>
        <v>6364.8</v>
      </c>
      <c r="AC47" s="89">
        <f t="shared" si="28"/>
        <v>6364.8</v>
      </c>
      <c r="AD47" s="89">
        <f t="shared" si="28"/>
        <v>6364.8</v>
      </c>
      <c r="AE47" s="89">
        <f t="shared" si="28"/>
        <v>6364.8</v>
      </c>
    </row>
    <row r="48" spans="2:31" x14ac:dyDescent="0.25">
      <c r="B48" s="214"/>
      <c r="C48" s="216"/>
      <c r="D48" s="216"/>
      <c r="E48" s="216"/>
      <c r="F48" s="216"/>
      <c r="G48" s="216"/>
      <c r="H48" s="216"/>
      <c r="I48" s="216"/>
      <c r="J48" s="216"/>
      <c r="K48" s="216"/>
      <c r="L48" s="216"/>
      <c r="M48" s="216"/>
      <c r="N48" s="216"/>
      <c r="O48" s="58" t="s">
        <v>64</v>
      </c>
      <c r="P48" s="58" t="s">
        <v>65</v>
      </c>
      <c r="S48" s="87" t="s">
        <v>205</v>
      </c>
      <c r="T48" s="86"/>
      <c r="U48" s="86"/>
      <c r="V48" s="86"/>
      <c r="W48" s="86"/>
      <c r="X48" s="86"/>
      <c r="Y48" s="86"/>
      <c r="Z48" s="86"/>
      <c r="AA48" s="86"/>
      <c r="AB48" s="86"/>
      <c r="AC48" s="86"/>
      <c r="AD48" s="86"/>
      <c r="AE48" s="86"/>
    </row>
    <row r="49" spans="2:31" x14ac:dyDescent="0.25">
      <c r="B49" s="35" t="s">
        <v>111</v>
      </c>
      <c r="C49" s="35">
        <f>Emprunt!J4</f>
        <v>22500</v>
      </c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60" t="s">
        <v>112</v>
      </c>
      <c r="P49" s="61">
        <f>SUM(C49:N49)</f>
        <v>22500</v>
      </c>
      <c r="S49" s="87" t="s">
        <v>206</v>
      </c>
      <c r="T49" s="86"/>
      <c r="U49" s="86"/>
      <c r="V49" s="86"/>
      <c r="W49" s="86"/>
      <c r="X49" s="86"/>
      <c r="Y49" s="86"/>
      <c r="Z49" s="86"/>
      <c r="AA49" s="86"/>
      <c r="AB49" s="86"/>
      <c r="AC49" s="86"/>
      <c r="AD49" s="86"/>
      <c r="AE49" s="86"/>
    </row>
    <row r="50" spans="2:31" x14ac:dyDescent="0.25">
      <c r="B50" s="34" t="s">
        <v>113</v>
      </c>
      <c r="C50" s="34">
        <f>C49*20%</f>
        <v>4500</v>
      </c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S50" s="87" t="s">
        <v>207</v>
      </c>
      <c r="T50" s="86">
        <f>68556</f>
        <v>68556</v>
      </c>
      <c r="U50" s="86">
        <f>2262</f>
        <v>2262</v>
      </c>
      <c r="V50" s="86"/>
      <c r="W50" s="86"/>
      <c r="X50" s="86"/>
      <c r="Y50" s="86"/>
      <c r="Z50" s="86"/>
      <c r="AA50" s="86"/>
      <c r="AB50" s="86"/>
      <c r="AC50" s="86"/>
      <c r="AD50" s="86"/>
      <c r="AE50" s="86"/>
    </row>
    <row r="51" spans="2:31" x14ac:dyDescent="0.25">
      <c r="B51" s="34" t="s">
        <v>114</v>
      </c>
      <c r="C51" s="34">
        <f>C49+C50</f>
        <v>27000</v>
      </c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S51" s="88" t="s">
        <v>210</v>
      </c>
      <c r="T51" s="89">
        <f>T47+T50</f>
        <v>146556</v>
      </c>
      <c r="U51" s="89">
        <f t="shared" ref="U51:AE51" si="29">SUM(U47:U50)</f>
        <v>8626.7999999999993</v>
      </c>
      <c r="V51" s="89">
        <f t="shared" si="29"/>
        <v>36364.800000000003</v>
      </c>
      <c r="W51" s="89">
        <f t="shared" si="29"/>
        <v>6364.8</v>
      </c>
      <c r="X51" s="89">
        <f t="shared" si="29"/>
        <v>6364.8</v>
      </c>
      <c r="Y51" s="89">
        <f t="shared" si="29"/>
        <v>7864.8</v>
      </c>
      <c r="Z51" s="89">
        <f t="shared" si="29"/>
        <v>6364.8</v>
      </c>
      <c r="AA51" s="89">
        <f t="shared" si="29"/>
        <v>6364.8</v>
      </c>
      <c r="AB51" s="89">
        <f t="shared" si="29"/>
        <v>6364.8</v>
      </c>
      <c r="AC51" s="89">
        <f t="shared" si="29"/>
        <v>6364.8</v>
      </c>
      <c r="AD51" s="89">
        <f t="shared" si="29"/>
        <v>6364.8</v>
      </c>
      <c r="AE51" s="89">
        <f t="shared" si="29"/>
        <v>6364.8</v>
      </c>
    </row>
    <row r="52" spans="2:31" x14ac:dyDescent="0.25">
      <c r="B52" s="59" t="s">
        <v>81</v>
      </c>
      <c r="C52" s="59">
        <f>C51</f>
        <v>27000</v>
      </c>
      <c r="D52" s="59"/>
      <c r="E52" s="59"/>
      <c r="F52" s="59"/>
      <c r="G52" s="59"/>
      <c r="H52" s="59"/>
      <c r="I52" s="59"/>
      <c r="J52" s="59"/>
      <c r="K52" s="59"/>
      <c r="L52" s="59"/>
      <c r="M52" s="59"/>
      <c r="N52" s="59"/>
      <c r="O52" s="60" t="s">
        <v>115</v>
      </c>
      <c r="P52" s="61">
        <v>0</v>
      </c>
      <c r="S52" s="87" t="s">
        <v>211</v>
      </c>
      <c r="T52" s="86">
        <f t="shared" ref="T52:AE52" si="30">C82</f>
        <v>130779.44</v>
      </c>
      <c r="U52" s="86">
        <f t="shared" si="30"/>
        <v>46852</v>
      </c>
      <c r="V52" s="86">
        <f t="shared" si="30"/>
        <v>51352</v>
      </c>
      <c r="W52" s="86">
        <f t="shared" si="30"/>
        <v>51352</v>
      </c>
      <c r="X52" s="86">
        <f t="shared" si="30"/>
        <v>51352</v>
      </c>
      <c r="Y52" s="86">
        <f t="shared" si="30"/>
        <v>51352</v>
      </c>
      <c r="Z52" s="86">
        <f t="shared" si="30"/>
        <v>51352</v>
      </c>
      <c r="AA52" s="86">
        <f t="shared" si="30"/>
        <v>51352</v>
      </c>
      <c r="AB52" s="86">
        <f t="shared" si="30"/>
        <v>51352</v>
      </c>
      <c r="AC52" s="86">
        <f t="shared" si="30"/>
        <v>59552</v>
      </c>
      <c r="AD52" s="86">
        <f t="shared" si="30"/>
        <v>51352</v>
      </c>
      <c r="AE52" s="86">
        <f t="shared" si="30"/>
        <v>51352</v>
      </c>
    </row>
    <row r="53" spans="2:31" x14ac:dyDescent="0.25">
      <c r="B53" s="20"/>
      <c r="C53" s="20" t="s">
        <v>149</v>
      </c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S53" s="87" t="s">
        <v>212</v>
      </c>
      <c r="T53" s="86"/>
      <c r="U53" s="86">
        <f t="shared" ref="U53:AE53" si="31">T50*0.07</f>
        <v>4798.92</v>
      </c>
      <c r="V53" s="86">
        <f t="shared" si="31"/>
        <v>158.34</v>
      </c>
      <c r="W53" s="86">
        <f t="shared" si="31"/>
        <v>0</v>
      </c>
      <c r="X53" s="86">
        <f t="shared" si="31"/>
        <v>0</v>
      </c>
      <c r="Y53" s="86">
        <f t="shared" si="31"/>
        <v>0</v>
      </c>
      <c r="Z53" s="86">
        <f t="shared" si="31"/>
        <v>0</v>
      </c>
      <c r="AA53" s="86">
        <f t="shared" si="31"/>
        <v>0</v>
      </c>
      <c r="AB53" s="86">
        <f t="shared" si="31"/>
        <v>0</v>
      </c>
      <c r="AC53" s="86">
        <f t="shared" si="31"/>
        <v>0</v>
      </c>
      <c r="AD53" s="86">
        <f t="shared" si="31"/>
        <v>0</v>
      </c>
      <c r="AE53" s="86">
        <f t="shared" si="31"/>
        <v>0</v>
      </c>
    </row>
    <row r="54" spans="2:31" x14ac:dyDescent="0.25"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S54" s="88" t="s">
        <v>213</v>
      </c>
      <c r="T54" s="89">
        <f t="shared" ref="T54:AE54" si="32">T52+T53</f>
        <v>130779.44</v>
      </c>
      <c r="U54" s="89">
        <f t="shared" si="32"/>
        <v>51650.92</v>
      </c>
      <c r="V54" s="89">
        <f t="shared" si="32"/>
        <v>51510.34</v>
      </c>
      <c r="W54" s="89">
        <f t="shared" si="32"/>
        <v>51352</v>
      </c>
      <c r="X54" s="89">
        <f t="shared" si="32"/>
        <v>51352</v>
      </c>
      <c r="Y54" s="89">
        <f t="shared" si="32"/>
        <v>51352</v>
      </c>
      <c r="Z54" s="89">
        <f t="shared" si="32"/>
        <v>51352</v>
      </c>
      <c r="AA54" s="89">
        <f t="shared" si="32"/>
        <v>51352</v>
      </c>
      <c r="AB54" s="89">
        <f t="shared" si="32"/>
        <v>51352</v>
      </c>
      <c r="AC54" s="89">
        <f t="shared" si="32"/>
        <v>59552</v>
      </c>
      <c r="AD54" s="89">
        <f t="shared" si="32"/>
        <v>51352</v>
      </c>
      <c r="AE54" s="89">
        <f t="shared" si="32"/>
        <v>51352</v>
      </c>
    </row>
    <row r="55" spans="2:31" x14ac:dyDescent="0.25">
      <c r="B55" s="36" t="s">
        <v>116</v>
      </c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  <c r="S55" s="87" t="s">
        <v>132</v>
      </c>
      <c r="T55" s="86">
        <f>C83</f>
        <v>6350</v>
      </c>
      <c r="U55" s="86">
        <f t="shared" ref="U55:AE55" si="33">T57</f>
        <v>22126.559999999998</v>
      </c>
      <c r="V55" s="86">
        <f t="shared" si="33"/>
        <v>-20897.559999999998</v>
      </c>
      <c r="W55" s="86">
        <f t="shared" si="33"/>
        <v>-36043.099999999991</v>
      </c>
      <c r="X55" s="86">
        <f t="shared" si="33"/>
        <v>-81030.299999999988</v>
      </c>
      <c r="Y55" s="86">
        <f t="shared" si="33"/>
        <v>-126017.49999999999</v>
      </c>
      <c r="Z55" s="86">
        <f t="shared" si="33"/>
        <v>-169504.69999999998</v>
      </c>
      <c r="AA55" s="86">
        <f t="shared" si="33"/>
        <v>-214491.89999999997</v>
      </c>
      <c r="AB55" s="86">
        <f t="shared" si="33"/>
        <v>-259479.09999999998</v>
      </c>
      <c r="AC55" s="86">
        <f t="shared" si="33"/>
        <v>-304466.3</v>
      </c>
      <c r="AD55" s="86">
        <f t="shared" si="33"/>
        <v>-357653.5</v>
      </c>
      <c r="AE55" s="86">
        <f t="shared" si="33"/>
        <v>-402640.7</v>
      </c>
    </row>
    <row r="56" spans="2:31" x14ac:dyDescent="0.25">
      <c r="B56" s="213"/>
      <c r="C56" s="215" t="s">
        <v>50</v>
      </c>
      <c r="D56" s="215" t="s">
        <v>51</v>
      </c>
      <c r="E56" s="215" t="s">
        <v>52</v>
      </c>
      <c r="F56" s="215" t="s">
        <v>53</v>
      </c>
      <c r="G56" s="215" t="s">
        <v>54</v>
      </c>
      <c r="H56" s="215" t="s">
        <v>55</v>
      </c>
      <c r="I56" s="215" t="s">
        <v>56</v>
      </c>
      <c r="J56" s="215" t="s">
        <v>57</v>
      </c>
      <c r="K56" s="215" t="s">
        <v>58</v>
      </c>
      <c r="L56" s="215" t="s">
        <v>59</v>
      </c>
      <c r="M56" s="215" t="s">
        <v>60</v>
      </c>
      <c r="N56" s="215" t="s">
        <v>61</v>
      </c>
      <c r="O56" s="220" t="s">
        <v>62</v>
      </c>
      <c r="P56" s="221"/>
      <c r="S56" s="87" t="s">
        <v>133</v>
      </c>
      <c r="T56" s="86">
        <f t="shared" ref="T56:AE56" si="34">T51-T54</f>
        <v>15776.559999999998</v>
      </c>
      <c r="U56" s="86">
        <f t="shared" si="34"/>
        <v>-43024.119999999995</v>
      </c>
      <c r="V56" s="86">
        <f t="shared" si="34"/>
        <v>-15145.539999999994</v>
      </c>
      <c r="W56" s="86">
        <f t="shared" si="34"/>
        <v>-44987.199999999997</v>
      </c>
      <c r="X56" s="86">
        <f t="shared" si="34"/>
        <v>-44987.199999999997</v>
      </c>
      <c r="Y56" s="86">
        <f t="shared" si="34"/>
        <v>-43487.199999999997</v>
      </c>
      <c r="Z56" s="86">
        <f t="shared" si="34"/>
        <v>-44987.199999999997</v>
      </c>
      <c r="AA56" s="86">
        <f t="shared" si="34"/>
        <v>-44987.199999999997</v>
      </c>
      <c r="AB56" s="86">
        <f t="shared" si="34"/>
        <v>-44987.199999999997</v>
      </c>
      <c r="AC56" s="86">
        <f t="shared" si="34"/>
        <v>-53187.199999999997</v>
      </c>
      <c r="AD56" s="86">
        <f t="shared" si="34"/>
        <v>-44987.199999999997</v>
      </c>
      <c r="AE56" s="86">
        <f t="shared" si="34"/>
        <v>-44987.199999999997</v>
      </c>
    </row>
    <row r="57" spans="2:31" x14ac:dyDescent="0.25">
      <c r="B57" s="214"/>
      <c r="C57" s="216"/>
      <c r="D57" s="216"/>
      <c r="E57" s="216"/>
      <c r="F57" s="216"/>
      <c r="G57" s="216"/>
      <c r="H57" s="216"/>
      <c r="I57" s="216"/>
      <c r="J57" s="216"/>
      <c r="K57" s="216"/>
      <c r="L57" s="216"/>
      <c r="M57" s="216"/>
      <c r="N57" s="216"/>
      <c r="O57" s="58" t="s">
        <v>64</v>
      </c>
      <c r="P57" s="58" t="s">
        <v>65</v>
      </c>
      <c r="S57" s="87" t="s">
        <v>214</v>
      </c>
      <c r="T57" s="86">
        <f t="shared" ref="T57:AE57" si="35">T55+T56</f>
        <v>22126.559999999998</v>
      </c>
      <c r="U57" s="86">
        <f t="shared" si="35"/>
        <v>-20897.559999999998</v>
      </c>
      <c r="V57" s="86">
        <f t="shared" si="35"/>
        <v>-36043.099999999991</v>
      </c>
      <c r="W57" s="86">
        <f t="shared" si="35"/>
        <v>-81030.299999999988</v>
      </c>
      <c r="X57" s="86">
        <f t="shared" si="35"/>
        <v>-126017.49999999999</v>
      </c>
      <c r="Y57" s="86">
        <f t="shared" si="35"/>
        <v>-169504.69999999998</v>
      </c>
      <c r="Z57" s="86">
        <f t="shared" si="35"/>
        <v>-214491.89999999997</v>
      </c>
      <c r="AA57" s="86">
        <f t="shared" si="35"/>
        <v>-259479.09999999998</v>
      </c>
      <c r="AB57" s="86">
        <f t="shared" si="35"/>
        <v>-304466.3</v>
      </c>
      <c r="AC57" s="86">
        <f t="shared" si="35"/>
        <v>-357653.5</v>
      </c>
      <c r="AD57" s="86">
        <f t="shared" si="35"/>
        <v>-402640.7</v>
      </c>
      <c r="AE57" s="86">
        <f t="shared" si="35"/>
        <v>-447627.9</v>
      </c>
    </row>
    <row r="58" spans="2:31" x14ac:dyDescent="0.25">
      <c r="B58" s="59" t="s">
        <v>68</v>
      </c>
      <c r="C58" s="59">
        <f>C6</f>
        <v>1060.8</v>
      </c>
      <c r="D58" s="59">
        <f t="shared" ref="D58:N58" si="36">D6</f>
        <v>1060.8</v>
      </c>
      <c r="E58" s="59">
        <f t="shared" si="36"/>
        <v>1060.8</v>
      </c>
      <c r="F58" s="59">
        <f t="shared" si="36"/>
        <v>1060.8</v>
      </c>
      <c r="G58" s="59">
        <f t="shared" si="36"/>
        <v>1060.8</v>
      </c>
      <c r="H58" s="59">
        <f t="shared" si="36"/>
        <v>1060.8</v>
      </c>
      <c r="I58" s="59">
        <f t="shared" si="36"/>
        <v>1060.8</v>
      </c>
      <c r="J58" s="59">
        <f t="shared" si="36"/>
        <v>1060.8</v>
      </c>
      <c r="K58" s="59">
        <f t="shared" si="36"/>
        <v>1060.8</v>
      </c>
      <c r="L58" s="59">
        <f t="shared" si="36"/>
        <v>1060.8</v>
      </c>
      <c r="M58" s="59">
        <f t="shared" si="36"/>
        <v>1060.8</v>
      </c>
      <c r="N58" s="59">
        <f t="shared" si="36"/>
        <v>1060.8</v>
      </c>
      <c r="O58" s="34"/>
      <c r="P58" s="34"/>
    </row>
    <row r="59" spans="2:31" x14ac:dyDescent="0.25">
      <c r="B59" s="34" t="s">
        <v>79</v>
      </c>
      <c r="C59" s="34">
        <f>C15</f>
        <v>318.24</v>
      </c>
      <c r="D59" s="34">
        <f t="shared" ref="D59:N59" si="37">D15</f>
        <v>318.24</v>
      </c>
      <c r="E59" s="34">
        <f t="shared" si="37"/>
        <v>318.24</v>
      </c>
      <c r="F59" s="34">
        <f t="shared" si="37"/>
        <v>318.24</v>
      </c>
      <c r="G59" s="34">
        <f t="shared" si="37"/>
        <v>318.24</v>
      </c>
      <c r="H59" s="34">
        <f t="shared" si="37"/>
        <v>318.24</v>
      </c>
      <c r="I59" s="34">
        <f t="shared" si="37"/>
        <v>318.24</v>
      </c>
      <c r="J59" s="34">
        <f t="shared" si="37"/>
        <v>318.24</v>
      </c>
      <c r="K59" s="34">
        <f t="shared" si="37"/>
        <v>318.24</v>
      </c>
      <c r="L59" s="34">
        <f t="shared" si="37"/>
        <v>318.24</v>
      </c>
      <c r="M59" s="34">
        <f t="shared" si="37"/>
        <v>318.24</v>
      </c>
      <c r="N59" s="34">
        <f t="shared" si="37"/>
        <v>318.24</v>
      </c>
      <c r="O59" s="34"/>
      <c r="P59" s="34"/>
    </row>
    <row r="60" spans="2:31" x14ac:dyDescent="0.25">
      <c r="B60" s="34" t="s">
        <v>86</v>
      </c>
      <c r="C60" s="34">
        <f>C24</f>
        <v>1420</v>
      </c>
      <c r="D60" s="34">
        <f t="shared" ref="D60:N60" si="38">D24</f>
        <v>1420</v>
      </c>
      <c r="E60" s="34">
        <f t="shared" si="38"/>
        <v>1420</v>
      </c>
      <c r="F60" s="34">
        <f t="shared" si="38"/>
        <v>1420</v>
      </c>
      <c r="G60" s="34">
        <f t="shared" si="38"/>
        <v>1420</v>
      </c>
      <c r="H60" s="34">
        <f t="shared" si="38"/>
        <v>1420</v>
      </c>
      <c r="I60" s="34">
        <f t="shared" si="38"/>
        <v>1420</v>
      </c>
      <c r="J60" s="34">
        <f t="shared" si="38"/>
        <v>1420</v>
      </c>
      <c r="K60" s="34">
        <f t="shared" si="38"/>
        <v>1420</v>
      </c>
      <c r="L60" s="34">
        <f t="shared" si="38"/>
        <v>1420</v>
      </c>
      <c r="M60" s="34">
        <f t="shared" si="38"/>
        <v>1420</v>
      </c>
      <c r="N60" s="34">
        <f t="shared" si="38"/>
        <v>1420</v>
      </c>
      <c r="O60" s="34"/>
      <c r="P60" s="34"/>
    </row>
    <row r="61" spans="2:31" x14ac:dyDescent="0.25">
      <c r="B61" s="59" t="s">
        <v>113</v>
      </c>
      <c r="C61" s="59">
        <f>C50</f>
        <v>4500</v>
      </c>
      <c r="D61" s="59">
        <f t="shared" ref="D61:N61" si="39">D50</f>
        <v>0</v>
      </c>
      <c r="E61" s="59">
        <f t="shared" si="39"/>
        <v>0</v>
      </c>
      <c r="F61" s="59">
        <f t="shared" si="39"/>
        <v>0</v>
      </c>
      <c r="G61" s="59">
        <f t="shared" si="39"/>
        <v>0</v>
      </c>
      <c r="H61" s="59">
        <f t="shared" si="39"/>
        <v>0</v>
      </c>
      <c r="I61" s="59">
        <f t="shared" si="39"/>
        <v>0</v>
      </c>
      <c r="J61" s="59">
        <f t="shared" si="39"/>
        <v>0</v>
      </c>
      <c r="K61" s="59">
        <f t="shared" si="39"/>
        <v>0</v>
      </c>
      <c r="L61" s="59">
        <f t="shared" si="39"/>
        <v>0</v>
      </c>
      <c r="M61" s="59">
        <f t="shared" si="39"/>
        <v>0</v>
      </c>
      <c r="N61" s="59">
        <f t="shared" si="39"/>
        <v>0</v>
      </c>
      <c r="O61" s="34"/>
      <c r="P61" s="34"/>
    </row>
    <row r="62" spans="2:31" x14ac:dyDescent="0.25">
      <c r="B62" s="44" t="s">
        <v>117</v>
      </c>
      <c r="C62" s="42">
        <f>C59+C60+C61</f>
        <v>6238.24</v>
      </c>
      <c r="D62" s="42">
        <f t="shared" ref="D62:N62" si="40">D59+D60+D61</f>
        <v>1738.24</v>
      </c>
      <c r="E62" s="42">
        <f t="shared" si="40"/>
        <v>1738.24</v>
      </c>
      <c r="F62" s="42">
        <f t="shared" si="40"/>
        <v>1738.24</v>
      </c>
      <c r="G62" s="42">
        <f t="shared" si="40"/>
        <v>1738.24</v>
      </c>
      <c r="H62" s="42">
        <f t="shared" si="40"/>
        <v>1738.24</v>
      </c>
      <c r="I62" s="42">
        <f t="shared" si="40"/>
        <v>1738.24</v>
      </c>
      <c r="J62" s="42">
        <f t="shared" si="40"/>
        <v>1738.24</v>
      </c>
      <c r="K62" s="42">
        <f t="shared" si="40"/>
        <v>1738.24</v>
      </c>
      <c r="L62" s="42">
        <f t="shared" si="40"/>
        <v>1738.24</v>
      </c>
      <c r="M62" s="42">
        <f t="shared" si="40"/>
        <v>1738.24</v>
      </c>
      <c r="N62" s="42">
        <f t="shared" si="40"/>
        <v>1738.24</v>
      </c>
      <c r="O62" s="34"/>
      <c r="P62" s="34"/>
    </row>
    <row r="63" spans="2:31" x14ac:dyDescent="0.25">
      <c r="B63" s="45" t="s">
        <v>118</v>
      </c>
      <c r="C63" s="43">
        <f>C58-C62</f>
        <v>-5177.4399999999996</v>
      </c>
      <c r="D63" s="43">
        <f t="shared" ref="D63:N63" si="41">D58-D62</f>
        <v>-677.44</v>
      </c>
      <c r="E63" s="43">
        <f t="shared" si="41"/>
        <v>-677.44</v>
      </c>
      <c r="F63" s="43">
        <f t="shared" si="41"/>
        <v>-677.44</v>
      </c>
      <c r="G63" s="43">
        <f t="shared" si="41"/>
        <v>-677.44</v>
      </c>
      <c r="H63" s="43">
        <f t="shared" si="41"/>
        <v>-677.44</v>
      </c>
      <c r="I63" s="43">
        <f t="shared" si="41"/>
        <v>-677.44</v>
      </c>
      <c r="J63" s="43">
        <f t="shared" si="41"/>
        <v>-677.44</v>
      </c>
      <c r="K63" s="43">
        <f t="shared" si="41"/>
        <v>-677.44</v>
      </c>
      <c r="L63" s="43">
        <f t="shared" si="41"/>
        <v>-677.44</v>
      </c>
      <c r="M63" s="43">
        <f t="shared" si="41"/>
        <v>-677.44</v>
      </c>
      <c r="N63" s="43">
        <f t="shared" si="41"/>
        <v>-677.44</v>
      </c>
      <c r="O63" s="34"/>
      <c r="P63" s="34"/>
    </row>
    <row r="64" spans="2:31" x14ac:dyDescent="0.25">
      <c r="B64" s="59" t="s">
        <v>81</v>
      </c>
      <c r="C64" s="59">
        <v>15000</v>
      </c>
      <c r="D64" s="59">
        <f>C63</f>
        <v>-5177.4399999999996</v>
      </c>
      <c r="E64" s="59">
        <f t="shared" ref="E64:N64" si="42">D63</f>
        <v>-677.44</v>
      </c>
      <c r="F64" s="59">
        <f t="shared" si="42"/>
        <v>-677.44</v>
      </c>
      <c r="G64" s="59">
        <f t="shared" si="42"/>
        <v>-677.44</v>
      </c>
      <c r="H64" s="59">
        <f t="shared" si="42"/>
        <v>-677.44</v>
      </c>
      <c r="I64" s="59">
        <f t="shared" si="42"/>
        <v>-677.44</v>
      </c>
      <c r="J64" s="59">
        <f t="shared" si="42"/>
        <v>-677.44</v>
      </c>
      <c r="K64" s="59">
        <f t="shared" si="42"/>
        <v>-677.44</v>
      </c>
      <c r="L64" s="59">
        <f t="shared" si="42"/>
        <v>-677.44</v>
      </c>
      <c r="M64" s="59">
        <f t="shared" si="42"/>
        <v>-677.44</v>
      </c>
      <c r="N64" s="59">
        <f t="shared" si="42"/>
        <v>-677.44</v>
      </c>
      <c r="O64" s="60" t="s">
        <v>119</v>
      </c>
      <c r="P64" s="61">
        <f>N63</f>
        <v>-677.44</v>
      </c>
    </row>
    <row r="65" spans="2:27" x14ac:dyDescent="0.25"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</row>
    <row r="66" spans="2:27" x14ac:dyDescent="0.25"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</row>
    <row r="67" spans="2:27" x14ac:dyDescent="0.25">
      <c r="B67" s="36" t="s">
        <v>120</v>
      </c>
      <c r="C67" s="36"/>
      <c r="D67" s="36"/>
      <c r="E67" s="36"/>
      <c r="F67" s="36"/>
      <c r="G67" s="36"/>
      <c r="H67" s="36"/>
      <c r="I67" s="36"/>
      <c r="J67" s="36"/>
      <c r="K67" s="36"/>
      <c r="L67" s="36"/>
      <c r="M67" s="36"/>
      <c r="N67" s="36"/>
      <c r="O67" s="36"/>
      <c r="P67" s="36"/>
      <c r="S67" s="269" t="s">
        <v>215</v>
      </c>
      <c r="T67" s="270"/>
      <c r="V67" s="264" t="s">
        <v>88</v>
      </c>
      <c r="W67" s="265"/>
      <c r="X67" s="265"/>
      <c r="Y67" s="265"/>
      <c r="Z67" s="265"/>
      <c r="AA67" s="265"/>
    </row>
    <row r="68" spans="2:27" x14ac:dyDescent="0.25">
      <c r="B68" s="213"/>
      <c r="C68" s="215" t="s">
        <v>50</v>
      </c>
      <c r="D68" s="215" t="s">
        <v>51</v>
      </c>
      <c r="E68" s="215" t="s">
        <v>52</v>
      </c>
      <c r="F68" s="215" t="s">
        <v>53</v>
      </c>
      <c r="G68" s="215" t="s">
        <v>54</v>
      </c>
      <c r="H68" s="215" t="s">
        <v>55</v>
      </c>
      <c r="I68" s="215" t="s">
        <v>56</v>
      </c>
      <c r="J68" s="215" t="s">
        <v>57</v>
      </c>
      <c r="K68" s="215" t="s">
        <v>58</v>
      </c>
      <c r="L68" s="215" t="s">
        <v>59</v>
      </c>
      <c r="M68" s="215" t="s">
        <v>60</v>
      </c>
      <c r="N68" s="215" t="s">
        <v>61</v>
      </c>
      <c r="O68" s="220" t="s">
        <v>62</v>
      </c>
      <c r="P68" s="221"/>
      <c r="S68" s="8" t="s">
        <v>1</v>
      </c>
      <c r="T68" s="9">
        <f>P5</f>
        <v>63648</v>
      </c>
      <c r="V68" s="33" t="s">
        <v>2</v>
      </c>
      <c r="W68" s="52" t="s">
        <v>3</v>
      </c>
      <c r="X68" s="52" t="s">
        <v>4</v>
      </c>
      <c r="Y68" s="52" t="s">
        <v>5</v>
      </c>
      <c r="Z68" s="53" t="s">
        <v>6</v>
      </c>
      <c r="AA68" s="54" t="s">
        <v>5</v>
      </c>
    </row>
    <row r="69" spans="2:27" x14ac:dyDescent="0.25">
      <c r="B69" s="214"/>
      <c r="C69" s="216"/>
      <c r="D69" s="216"/>
      <c r="E69" s="216"/>
      <c r="F69" s="216"/>
      <c r="G69" s="216"/>
      <c r="H69" s="216"/>
      <c r="I69" s="216"/>
      <c r="J69" s="216"/>
      <c r="K69" s="216"/>
      <c r="L69" s="216"/>
      <c r="M69" s="216"/>
      <c r="N69" s="216"/>
      <c r="O69" s="58" t="s">
        <v>64</v>
      </c>
      <c r="P69" s="58" t="s">
        <v>65</v>
      </c>
      <c r="S69" s="8" t="s">
        <v>67</v>
      </c>
      <c r="T69" s="9">
        <v>0</v>
      </c>
      <c r="V69" s="1" t="s">
        <v>8</v>
      </c>
      <c r="W69" s="5">
        <f>SUM(W70:W73)</f>
        <v>236500</v>
      </c>
      <c r="X69" s="5">
        <f>SUM(X70:X71)</f>
        <v>49814.285714285717</v>
      </c>
      <c r="Y69" s="5">
        <f>SUM(Y70:Y71)</f>
        <v>186685.71428571426</v>
      </c>
      <c r="Z69" s="1" t="s">
        <v>9</v>
      </c>
      <c r="AA69" s="11">
        <f>SUM(AA70:AA73)</f>
        <v>-363310.6857142857</v>
      </c>
    </row>
    <row r="70" spans="2:27" ht="30" x14ac:dyDescent="0.25">
      <c r="B70" s="35" t="s">
        <v>121</v>
      </c>
      <c r="C70" s="35">
        <f>'Bilan et CDR N'!I14</f>
        <v>78000</v>
      </c>
      <c r="D70" s="35">
        <f t="shared" ref="D70:N70" si="43">D8</f>
        <v>6364.8</v>
      </c>
      <c r="E70" s="35">
        <f t="shared" si="43"/>
        <v>6364.8</v>
      </c>
      <c r="F70" s="35">
        <f t="shared" si="43"/>
        <v>6364.8</v>
      </c>
      <c r="G70" s="35">
        <f t="shared" si="43"/>
        <v>6364.8</v>
      </c>
      <c r="H70" s="35">
        <f t="shared" si="43"/>
        <v>6364.8</v>
      </c>
      <c r="I70" s="35">
        <f t="shared" si="43"/>
        <v>6364.8</v>
      </c>
      <c r="J70" s="43">
        <f t="shared" si="43"/>
        <v>6364.8</v>
      </c>
      <c r="K70" s="35">
        <f t="shared" si="43"/>
        <v>6364.8</v>
      </c>
      <c r="L70" s="35">
        <f t="shared" si="43"/>
        <v>6364.8</v>
      </c>
      <c r="M70" s="35">
        <f t="shared" si="43"/>
        <v>6364.8</v>
      </c>
      <c r="N70" s="35">
        <f t="shared" si="43"/>
        <v>6364.8</v>
      </c>
      <c r="O70" s="34"/>
      <c r="P70" s="34"/>
      <c r="S70" s="33" t="s">
        <v>10</v>
      </c>
      <c r="T70" s="49">
        <f>T68+T69</f>
        <v>63648</v>
      </c>
      <c r="V70" s="2" t="s">
        <v>11</v>
      </c>
      <c r="W70" s="6">
        <f>'Bilan et CDR N+1'!G7</f>
        <v>159000</v>
      </c>
      <c r="X70" s="6">
        <f>'Bilan et CDR N+1'!H7</f>
        <v>14072.429906542056</v>
      </c>
      <c r="Y70" s="6">
        <f>W70-X70</f>
        <v>144927.57009345794</v>
      </c>
      <c r="Z70" s="2" t="s">
        <v>12</v>
      </c>
      <c r="AA70" s="4">
        <f>50000+30000</f>
        <v>80000</v>
      </c>
    </row>
    <row r="71" spans="2:27" ht="18.75" customHeight="1" x14ac:dyDescent="0.25">
      <c r="B71" s="34" t="s">
        <v>122</v>
      </c>
      <c r="C71" s="34"/>
      <c r="D71" s="34"/>
      <c r="E71" s="34">
        <f>E9</f>
        <v>30000</v>
      </c>
      <c r="F71" s="34"/>
      <c r="G71" s="34"/>
      <c r="H71" s="34">
        <v>1500</v>
      </c>
      <c r="I71" s="34"/>
      <c r="J71" s="34"/>
      <c r="K71" s="34"/>
      <c r="L71" s="34"/>
      <c r="M71" s="34"/>
      <c r="N71" s="34"/>
      <c r="O71" s="34"/>
      <c r="P71" s="34"/>
      <c r="S71" s="8" t="s">
        <v>70</v>
      </c>
      <c r="T71" s="9">
        <f>P14</f>
        <v>19094.400000000005</v>
      </c>
      <c r="V71" s="2" t="s">
        <v>14</v>
      </c>
      <c r="W71" s="2">
        <f>'Bilan et CDR N+1'!G8</f>
        <v>77500</v>
      </c>
      <c r="X71" s="2">
        <f>'Bilan et CDR N+1'!H8</f>
        <v>35741.855807743661</v>
      </c>
      <c r="Y71" s="2">
        <f>W71-X71</f>
        <v>41758.144192256339</v>
      </c>
      <c r="Z71" s="2" t="s">
        <v>15</v>
      </c>
      <c r="AA71" s="3">
        <v>5000</v>
      </c>
    </row>
    <row r="72" spans="2:27" x14ac:dyDescent="0.25">
      <c r="B72" s="34" t="s">
        <v>123</v>
      </c>
      <c r="C72" s="34">
        <f>C71+C70</f>
        <v>78000</v>
      </c>
      <c r="D72" s="34">
        <f t="shared" ref="D72:N72" si="44">D71+D70</f>
        <v>6364.8</v>
      </c>
      <c r="E72" s="34">
        <f t="shared" si="44"/>
        <v>36364.800000000003</v>
      </c>
      <c r="F72" s="34">
        <f t="shared" si="44"/>
        <v>6364.8</v>
      </c>
      <c r="G72" s="34">
        <f t="shared" si="44"/>
        <v>6364.8</v>
      </c>
      <c r="H72" s="34">
        <f t="shared" si="44"/>
        <v>7864.8</v>
      </c>
      <c r="I72" s="34">
        <f t="shared" si="44"/>
        <v>6364.8</v>
      </c>
      <c r="J72" s="34">
        <f t="shared" si="44"/>
        <v>6364.8</v>
      </c>
      <c r="K72" s="34">
        <f t="shared" si="44"/>
        <v>6364.8</v>
      </c>
      <c r="L72" s="34">
        <f t="shared" si="44"/>
        <v>6364.8</v>
      </c>
      <c r="M72" s="34">
        <f t="shared" si="44"/>
        <v>6364.8</v>
      </c>
      <c r="N72" s="34">
        <f t="shared" si="44"/>
        <v>6364.8</v>
      </c>
      <c r="O72" s="34"/>
      <c r="P72" s="34"/>
      <c r="S72" s="8" t="s">
        <v>73</v>
      </c>
      <c r="T72" s="9">
        <f>P23</f>
        <v>85200</v>
      </c>
      <c r="V72" s="1"/>
      <c r="W72" s="5"/>
      <c r="X72" s="1"/>
      <c r="Y72" s="5"/>
      <c r="Z72" s="2" t="s">
        <v>17</v>
      </c>
      <c r="AA72" s="4">
        <f>'Bilan et CDR N'!K9+'Bilan et CDR N'!K10</f>
        <v>41750</v>
      </c>
    </row>
    <row r="73" spans="2:27" x14ac:dyDescent="0.25">
      <c r="B73" s="59" t="s">
        <v>124</v>
      </c>
      <c r="C73" s="59">
        <f>C17</f>
        <v>32909.440000000002</v>
      </c>
      <c r="D73" s="59">
        <f t="shared" ref="D73:N73" si="45">D17</f>
        <v>1909.44</v>
      </c>
      <c r="E73" s="59">
        <f t="shared" si="45"/>
        <v>1909.44</v>
      </c>
      <c r="F73" s="59">
        <f t="shared" si="45"/>
        <v>1909.44</v>
      </c>
      <c r="G73" s="59">
        <f t="shared" si="45"/>
        <v>1909.44</v>
      </c>
      <c r="H73" s="59">
        <f t="shared" si="45"/>
        <v>1909.44</v>
      </c>
      <c r="I73" s="59">
        <f t="shared" si="45"/>
        <v>1909.44</v>
      </c>
      <c r="J73" s="59">
        <f t="shared" si="45"/>
        <v>1909.44</v>
      </c>
      <c r="K73" s="59">
        <f t="shared" si="45"/>
        <v>1909.44</v>
      </c>
      <c r="L73" s="59">
        <f t="shared" si="45"/>
        <v>1909.44</v>
      </c>
      <c r="M73" s="59">
        <f t="shared" si="45"/>
        <v>1909.44</v>
      </c>
      <c r="N73" s="59">
        <f t="shared" si="45"/>
        <v>1909.44</v>
      </c>
      <c r="O73" s="34"/>
      <c r="P73" s="34"/>
      <c r="S73" s="8" t="s">
        <v>18</v>
      </c>
      <c r="T73" s="9">
        <f>P39</f>
        <v>8200</v>
      </c>
      <c r="V73" s="2"/>
      <c r="W73" s="6"/>
      <c r="X73" s="2"/>
      <c r="Y73" s="6"/>
      <c r="Z73" s="2" t="s">
        <v>19</v>
      </c>
      <c r="AA73" s="4">
        <f>T85</f>
        <v>-490060.6857142857</v>
      </c>
    </row>
    <row r="74" spans="2:27" ht="27.75" customHeight="1" x14ac:dyDescent="0.25">
      <c r="B74" s="39" t="s">
        <v>125</v>
      </c>
      <c r="C74" s="41">
        <f>'Bilan et CDR N'!$K$16/12</f>
        <v>375</v>
      </c>
      <c r="D74" s="41">
        <f>'Bilan et CDR N'!$K$16/12</f>
        <v>375</v>
      </c>
      <c r="E74" s="41">
        <f>'Bilan et CDR N'!$K$16/12</f>
        <v>375</v>
      </c>
      <c r="F74" s="41">
        <f>'Bilan et CDR N'!$K$16/12</f>
        <v>375</v>
      </c>
      <c r="G74" s="41">
        <f>'Bilan et CDR N'!$K$16/12</f>
        <v>375</v>
      </c>
      <c r="H74" s="41">
        <f>'Bilan et CDR N'!$K$16/12</f>
        <v>375</v>
      </c>
      <c r="I74" s="41">
        <f>'Bilan et CDR N'!$K$16/12</f>
        <v>375</v>
      </c>
      <c r="J74" s="41">
        <f>'Bilan et CDR N'!$K$16/12</f>
        <v>375</v>
      </c>
      <c r="K74" s="41">
        <f>'Bilan et CDR N'!$K$16/12</f>
        <v>375</v>
      </c>
      <c r="L74" s="41">
        <f>'Bilan et CDR N'!$K$16/12</f>
        <v>375</v>
      </c>
      <c r="M74" s="41">
        <f>'Bilan et CDR N'!$K$16/12</f>
        <v>375</v>
      </c>
      <c r="N74" s="41">
        <f>'Bilan et CDR N'!$K$16/12</f>
        <v>375</v>
      </c>
      <c r="O74" s="34"/>
      <c r="P74" s="34"/>
      <c r="S74" s="8" t="s">
        <v>20</v>
      </c>
      <c r="T74" s="9">
        <f>P31</f>
        <v>307500</v>
      </c>
      <c r="V74" s="12"/>
      <c r="W74" s="13"/>
      <c r="Y74" s="13"/>
      <c r="Z74" s="4"/>
      <c r="AA74" s="11"/>
    </row>
    <row r="75" spans="2:27" x14ac:dyDescent="0.25">
      <c r="B75" s="39" t="s">
        <v>126</v>
      </c>
      <c r="C75" s="41">
        <f>C31</f>
        <v>25625</v>
      </c>
      <c r="D75" s="41">
        <f t="shared" ref="D75:N75" si="46">D31</f>
        <v>25625</v>
      </c>
      <c r="E75" s="41">
        <f t="shared" si="46"/>
        <v>25625</v>
      </c>
      <c r="F75" s="41">
        <f t="shared" si="46"/>
        <v>25625</v>
      </c>
      <c r="G75" s="41">
        <f t="shared" si="46"/>
        <v>25625</v>
      </c>
      <c r="H75" s="41">
        <f t="shared" si="46"/>
        <v>25625</v>
      </c>
      <c r="I75" s="41">
        <f t="shared" si="46"/>
        <v>25625</v>
      </c>
      <c r="J75" s="41">
        <f t="shared" si="46"/>
        <v>25625</v>
      </c>
      <c r="K75" s="41">
        <f t="shared" si="46"/>
        <v>25625</v>
      </c>
      <c r="L75" s="41">
        <f t="shared" si="46"/>
        <v>25625</v>
      </c>
      <c r="M75" s="41">
        <f t="shared" si="46"/>
        <v>25625</v>
      </c>
      <c r="N75" s="41">
        <f t="shared" si="46"/>
        <v>25625</v>
      </c>
      <c r="O75" s="34"/>
      <c r="P75" s="34"/>
      <c r="S75" s="8" t="s">
        <v>21</v>
      </c>
      <c r="T75" s="9">
        <f>P32</f>
        <v>123000</v>
      </c>
      <c r="V75" s="1" t="s">
        <v>22</v>
      </c>
      <c r="W75" s="5">
        <f>SUM(W76:W78)</f>
        <v>-492123.84000000008</v>
      </c>
      <c r="X75" s="5">
        <f>SUM(X76:X78)</f>
        <v>0</v>
      </c>
      <c r="Y75" s="5">
        <f>SUM(Y76:Y78)</f>
        <v>-492123.84000000008</v>
      </c>
      <c r="Z75" s="1" t="s">
        <v>23</v>
      </c>
      <c r="AA75" s="11">
        <f>SUM(AA76:AA79)</f>
        <v>69572.56</v>
      </c>
    </row>
    <row r="76" spans="2:27" ht="19.5" customHeight="1" x14ac:dyDescent="0.25">
      <c r="B76" s="35" t="s">
        <v>21</v>
      </c>
      <c r="C76" s="35">
        <f>C33</f>
        <v>16000</v>
      </c>
      <c r="D76" s="35">
        <f t="shared" ref="D76:N76" si="47">D33</f>
        <v>10250</v>
      </c>
      <c r="E76" s="35">
        <f t="shared" si="47"/>
        <v>10250</v>
      </c>
      <c r="F76" s="35">
        <f t="shared" si="47"/>
        <v>10250</v>
      </c>
      <c r="G76" s="35">
        <f t="shared" si="47"/>
        <v>10250</v>
      </c>
      <c r="H76" s="35">
        <f t="shared" si="47"/>
        <v>10250</v>
      </c>
      <c r="I76" s="35">
        <f t="shared" si="47"/>
        <v>10250</v>
      </c>
      <c r="J76" s="35">
        <f t="shared" si="47"/>
        <v>10250</v>
      </c>
      <c r="K76" s="35">
        <f t="shared" si="47"/>
        <v>10250</v>
      </c>
      <c r="L76" s="35">
        <f t="shared" si="47"/>
        <v>10250</v>
      </c>
      <c r="M76" s="35">
        <f t="shared" si="47"/>
        <v>10250</v>
      </c>
      <c r="N76" s="35">
        <f t="shared" si="47"/>
        <v>10250</v>
      </c>
      <c r="O76" s="34"/>
      <c r="P76" s="34"/>
      <c r="S76" s="8" t="s">
        <v>75</v>
      </c>
      <c r="T76" s="9">
        <f>P29</f>
        <v>10714.285714285714</v>
      </c>
      <c r="V76" s="2" t="s">
        <v>25</v>
      </c>
      <c r="W76" s="2">
        <v>15000</v>
      </c>
      <c r="X76" s="2"/>
      <c r="Y76" s="2">
        <f>W76-X76</f>
        <v>15000</v>
      </c>
      <c r="Z76" s="2" t="s">
        <v>26</v>
      </c>
      <c r="AA76" s="4">
        <v>60000</v>
      </c>
    </row>
    <row r="77" spans="2:27" ht="17.25" customHeight="1" x14ac:dyDescent="0.25">
      <c r="B77" s="34" t="s">
        <v>102</v>
      </c>
      <c r="C77" s="34">
        <f t="shared" ref="C77:N77" si="48">C40</f>
        <v>0</v>
      </c>
      <c r="D77" s="34">
        <f t="shared" si="48"/>
        <v>0</v>
      </c>
      <c r="E77" s="34">
        <f t="shared" si="48"/>
        <v>0</v>
      </c>
      <c r="F77" s="34">
        <f t="shared" si="48"/>
        <v>0</v>
      </c>
      <c r="G77" s="34">
        <f t="shared" si="48"/>
        <v>0</v>
      </c>
      <c r="H77" s="34">
        <f t="shared" si="48"/>
        <v>0</v>
      </c>
      <c r="I77" s="34">
        <f t="shared" si="48"/>
        <v>0</v>
      </c>
      <c r="J77" s="34">
        <f t="shared" si="48"/>
        <v>0</v>
      </c>
      <c r="K77" s="34">
        <f t="shared" si="48"/>
        <v>0</v>
      </c>
      <c r="L77" s="34">
        <f t="shared" si="48"/>
        <v>8200</v>
      </c>
      <c r="M77" s="34">
        <f t="shared" si="48"/>
        <v>0</v>
      </c>
      <c r="N77" s="34">
        <f t="shared" si="48"/>
        <v>0</v>
      </c>
      <c r="O77" s="34"/>
      <c r="P77" s="34"/>
      <c r="S77" s="33" t="s">
        <v>76</v>
      </c>
      <c r="T77" s="49">
        <f>SUM(T71:T76)</f>
        <v>553708.6857142857</v>
      </c>
      <c r="V77" s="2" t="s">
        <v>28</v>
      </c>
      <c r="W77" s="6">
        <f>P8</f>
        <v>6364.8</v>
      </c>
      <c r="X77" s="2"/>
      <c r="Y77" s="6">
        <f>W77-X77</f>
        <v>6364.8</v>
      </c>
      <c r="Z77" s="2" t="s">
        <v>29</v>
      </c>
      <c r="AA77" s="3">
        <v>0</v>
      </c>
    </row>
    <row r="78" spans="2:27" x14ac:dyDescent="0.25">
      <c r="B78" s="34" t="s">
        <v>127</v>
      </c>
      <c r="C78" s="34">
        <f>C26</f>
        <v>8520</v>
      </c>
      <c r="D78" s="34">
        <f t="shared" ref="D78:N78" si="49">D26</f>
        <v>8520</v>
      </c>
      <c r="E78" s="34">
        <f t="shared" si="49"/>
        <v>8520</v>
      </c>
      <c r="F78" s="34">
        <f t="shared" si="49"/>
        <v>8520</v>
      </c>
      <c r="G78" s="34">
        <f t="shared" si="49"/>
        <v>8520</v>
      </c>
      <c r="H78" s="34">
        <f t="shared" si="49"/>
        <v>8520</v>
      </c>
      <c r="I78" s="34">
        <f t="shared" si="49"/>
        <v>8520</v>
      </c>
      <c r="J78" s="34">
        <f t="shared" si="49"/>
        <v>8520</v>
      </c>
      <c r="K78" s="34">
        <f t="shared" si="49"/>
        <v>8520</v>
      </c>
      <c r="L78" s="34">
        <f t="shared" si="49"/>
        <v>8520</v>
      </c>
      <c r="M78" s="34">
        <f t="shared" si="49"/>
        <v>8520</v>
      </c>
      <c r="N78" s="34">
        <f t="shared" si="49"/>
        <v>8520</v>
      </c>
      <c r="O78" s="34"/>
      <c r="P78" s="34"/>
      <c r="S78" s="10" t="s">
        <v>30</v>
      </c>
      <c r="T78" s="16">
        <f>T70-T77</f>
        <v>-490060.6857142857</v>
      </c>
      <c r="V78" s="2" t="s">
        <v>34</v>
      </c>
      <c r="W78" s="6">
        <f>N85</f>
        <v>-513488.64000000007</v>
      </c>
      <c r="X78" s="2"/>
      <c r="Y78" s="6">
        <f>W78-X78</f>
        <v>-513488.64000000007</v>
      </c>
      <c r="Z78" s="2" t="s">
        <v>32</v>
      </c>
      <c r="AA78" s="3">
        <f>P33+P64</f>
        <v>9572.56</v>
      </c>
    </row>
    <row r="79" spans="2:27" x14ac:dyDescent="0.25">
      <c r="B79" s="59" t="s">
        <v>128</v>
      </c>
      <c r="C79" s="59">
        <f t="shared" ref="C79:N79" si="50">C43</f>
        <v>5350</v>
      </c>
      <c r="D79" s="59">
        <f t="shared" si="50"/>
        <v>5350</v>
      </c>
      <c r="E79" s="59">
        <f t="shared" si="50"/>
        <v>5350</v>
      </c>
      <c r="F79" s="59">
        <f t="shared" si="50"/>
        <v>5350</v>
      </c>
      <c r="G79" s="59">
        <f t="shared" si="50"/>
        <v>5350</v>
      </c>
      <c r="H79" s="59">
        <f t="shared" si="50"/>
        <v>5350</v>
      </c>
      <c r="I79" s="59">
        <f t="shared" si="50"/>
        <v>5350</v>
      </c>
      <c r="J79" s="59">
        <f t="shared" si="50"/>
        <v>5350</v>
      </c>
      <c r="K79" s="59">
        <f t="shared" si="50"/>
        <v>5350</v>
      </c>
      <c r="L79" s="59">
        <f t="shared" si="50"/>
        <v>5350</v>
      </c>
      <c r="M79" s="59">
        <f t="shared" si="50"/>
        <v>5350</v>
      </c>
      <c r="N79" s="59">
        <f t="shared" si="50"/>
        <v>5350</v>
      </c>
      <c r="O79" s="34"/>
      <c r="P79" s="34"/>
      <c r="S79" s="33" t="s">
        <v>33</v>
      </c>
      <c r="T79" s="49">
        <v>0</v>
      </c>
      <c r="V79" s="2"/>
      <c r="W79" s="2"/>
      <c r="X79" s="2"/>
      <c r="Y79" s="2"/>
      <c r="Z79" s="2"/>
      <c r="AA79" s="4"/>
    </row>
    <row r="80" spans="2:27" x14ac:dyDescent="0.25">
      <c r="B80" s="38" t="s">
        <v>129</v>
      </c>
      <c r="C80" s="40">
        <f t="shared" ref="C80:N80" si="51">C51</f>
        <v>27000</v>
      </c>
      <c r="D80" s="40">
        <f t="shared" si="51"/>
        <v>0</v>
      </c>
      <c r="E80" s="40">
        <f t="shared" si="51"/>
        <v>0</v>
      </c>
      <c r="F80" s="40">
        <f t="shared" si="51"/>
        <v>0</v>
      </c>
      <c r="G80" s="40">
        <f t="shared" si="51"/>
        <v>0</v>
      </c>
      <c r="H80" s="40">
        <f t="shared" si="51"/>
        <v>0</v>
      </c>
      <c r="I80" s="40">
        <f t="shared" si="51"/>
        <v>0</v>
      </c>
      <c r="J80" s="40">
        <f t="shared" si="51"/>
        <v>0</v>
      </c>
      <c r="K80" s="40">
        <f t="shared" si="51"/>
        <v>0</v>
      </c>
      <c r="L80" s="40">
        <f t="shared" si="51"/>
        <v>0</v>
      </c>
      <c r="M80" s="40">
        <f t="shared" si="51"/>
        <v>0</v>
      </c>
      <c r="N80" s="40">
        <f t="shared" si="51"/>
        <v>0</v>
      </c>
      <c r="O80" s="34"/>
      <c r="P80" s="34"/>
      <c r="S80" s="8" t="s">
        <v>36</v>
      </c>
      <c r="T80" s="9">
        <f>'Budget Prev 3 années SANS PRECO'!W106</f>
        <v>0</v>
      </c>
      <c r="V80" s="55" t="s">
        <v>38</v>
      </c>
      <c r="W80" s="56">
        <f>W69+W75</f>
        <v>-255623.84000000008</v>
      </c>
      <c r="X80" s="56">
        <f>X69</f>
        <v>49814.285714285717</v>
      </c>
      <c r="Y80" s="56">
        <f>W80-X80</f>
        <v>-305438.12571428582</v>
      </c>
      <c r="Z80" s="55" t="s">
        <v>39</v>
      </c>
      <c r="AA80" s="57">
        <f>AA69+AA75</f>
        <v>-293738.12571428571</v>
      </c>
    </row>
    <row r="81" spans="2:27" x14ac:dyDescent="0.25">
      <c r="B81" s="38" t="s">
        <v>130</v>
      </c>
      <c r="C81" s="40">
        <f t="shared" ref="C81:N81" si="52">C64</f>
        <v>15000</v>
      </c>
      <c r="D81" s="40">
        <f t="shared" si="52"/>
        <v>-5177.4399999999996</v>
      </c>
      <c r="E81" s="40">
        <f t="shared" si="52"/>
        <v>-677.44</v>
      </c>
      <c r="F81" s="40">
        <f t="shared" si="52"/>
        <v>-677.44</v>
      </c>
      <c r="G81" s="40">
        <f t="shared" si="52"/>
        <v>-677.44</v>
      </c>
      <c r="H81" s="40">
        <f t="shared" si="52"/>
        <v>-677.44</v>
      </c>
      <c r="I81" s="40">
        <f t="shared" si="52"/>
        <v>-677.44</v>
      </c>
      <c r="J81" s="40">
        <f t="shared" si="52"/>
        <v>-677.44</v>
      </c>
      <c r="K81" s="40">
        <f t="shared" si="52"/>
        <v>-677.44</v>
      </c>
      <c r="L81" s="40">
        <f t="shared" si="52"/>
        <v>-677.44</v>
      </c>
      <c r="M81" s="40">
        <f t="shared" si="52"/>
        <v>-677.44</v>
      </c>
      <c r="N81" s="40">
        <f t="shared" si="52"/>
        <v>-677.44</v>
      </c>
      <c r="O81" s="34"/>
      <c r="P81" s="34"/>
      <c r="S81" s="33" t="s">
        <v>37</v>
      </c>
      <c r="T81" s="49">
        <f>T80</f>
        <v>0</v>
      </c>
      <c r="Z81" s="7" t="s">
        <v>42</v>
      </c>
      <c r="AA81" s="14">
        <f>Y80-AA80</f>
        <v>-11700.000000000116</v>
      </c>
    </row>
    <row r="82" spans="2:27" x14ac:dyDescent="0.25">
      <c r="B82" s="59" t="s">
        <v>131</v>
      </c>
      <c r="C82" s="59">
        <f>SUM(C73:C81)</f>
        <v>130779.44</v>
      </c>
      <c r="D82" s="59">
        <f t="shared" ref="D82:N82" si="53">SUM(D73:D81)</f>
        <v>46852</v>
      </c>
      <c r="E82" s="59">
        <f t="shared" si="53"/>
        <v>51352</v>
      </c>
      <c r="F82" s="59">
        <f t="shared" si="53"/>
        <v>51352</v>
      </c>
      <c r="G82" s="59">
        <f t="shared" si="53"/>
        <v>51352</v>
      </c>
      <c r="H82" s="59">
        <f t="shared" si="53"/>
        <v>51352</v>
      </c>
      <c r="I82" s="59">
        <f t="shared" si="53"/>
        <v>51352</v>
      </c>
      <c r="J82" s="59">
        <f t="shared" si="53"/>
        <v>51352</v>
      </c>
      <c r="K82" s="59">
        <f t="shared" si="53"/>
        <v>51352</v>
      </c>
      <c r="L82" s="59">
        <f t="shared" si="53"/>
        <v>59552</v>
      </c>
      <c r="M82" s="59">
        <f t="shared" si="53"/>
        <v>51352</v>
      </c>
      <c r="N82" s="59">
        <f t="shared" si="53"/>
        <v>51352</v>
      </c>
      <c r="O82" s="34"/>
      <c r="P82" s="34"/>
      <c r="S82" s="10" t="s">
        <v>40</v>
      </c>
      <c r="T82" s="16">
        <f>T79-T81</f>
        <v>0</v>
      </c>
    </row>
    <row r="83" spans="2:27" x14ac:dyDescent="0.25">
      <c r="B83" s="59" t="s">
        <v>132</v>
      </c>
      <c r="C83" s="59">
        <f>'Bilan et CDR N'!I16</f>
        <v>6350</v>
      </c>
      <c r="D83" s="59">
        <f>C85</f>
        <v>-46429.440000000002</v>
      </c>
      <c r="E83" s="59">
        <f t="shared" ref="E83:N83" si="54">D85</f>
        <v>-86916.64</v>
      </c>
      <c r="F83" s="59">
        <f t="shared" si="54"/>
        <v>-101903.84</v>
      </c>
      <c r="G83" s="59">
        <f t="shared" si="54"/>
        <v>-146891.03999999998</v>
      </c>
      <c r="H83" s="59">
        <f t="shared" si="54"/>
        <v>-191878.24</v>
      </c>
      <c r="I83" s="59">
        <f t="shared" si="54"/>
        <v>-235365.44</v>
      </c>
      <c r="J83" s="59">
        <f t="shared" si="54"/>
        <v>-280352.64000000001</v>
      </c>
      <c r="K83" s="59">
        <f t="shared" si="54"/>
        <v>-325339.84000000003</v>
      </c>
      <c r="L83" s="59">
        <f t="shared" si="54"/>
        <v>-370327.04000000004</v>
      </c>
      <c r="M83" s="59">
        <f t="shared" si="54"/>
        <v>-423514.24000000005</v>
      </c>
      <c r="N83" s="59">
        <f t="shared" si="54"/>
        <v>-468501.44000000006</v>
      </c>
      <c r="O83" s="34"/>
      <c r="P83" s="34"/>
      <c r="S83" s="10" t="s">
        <v>43</v>
      </c>
      <c r="T83" s="16">
        <f>T78-(-T82)</f>
        <v>-490060.6857142857</v>
      </c>
    </row>
    <row r="84" spans="2:27" x14ac:dyDescent="0.25">
      <c r="B84" s="34" t="s">
        <v>133</v>
      </c>
      <c r="C84" s="34">
        <f t="shared" ref="C84:N84" si="55">C72-C82</f>
        <v>-52779.44</v>
      </c>
      <c r="D84" s="34">
        <f t="shared" si="55"/>
        <v>-40487.199999999997</v>
      </c>
      <c r="E84" s="34">
        <f t="shared" si="55"/>
        <v>-14987.199999999997</v>
      </c>
      <c r="F84" s="34">
        <f t="shared" si="55"/>
        <v>-44987.199999999997</v>
      </c>
      <c r="G84" s="34">
        <f t="shared" si="55"/>
        <v>-44987.199999999997</v>
      </c>
      <c r="H84" s="34">
        <f t="shared" si="55"/>
        <v>-43487.199999999997</v>
      </c>
      <c r="I84" s="34">
        <f t="shared" si="55"/>
        <v>-44987.199999999997</v>
      </c>
      <c r="J84" s="34">
        <f t="shared" si="55"/>
        <v>-44987.199999999997</v>
      </c>
      <c r="K84" s="34">
        <f t="shared" si="55"/>
        <v>-44987.199999999997</v>
      </c>
      <c r="L84" s="34">
        <f t="shared" si="55"/>
        <v>-53187.199999999997</v>
      </c>
      <c r="M84" s="34">
        <f t="shared" si="55"/>
        <v>-44987.199999999997</v>
      </c>
      <c r="N84" s="34">
        <f t="shared" si="55"/>
        <v>-44987.199999999997</v>
      </c>
      <c r="O84" s="34"/>
      <c r="P84" s="34"/>
      <c r="S84" s="10" t="s">
        <v>45</v>
      </c>
      <c r="T84" s="9"/>
    </row>
    <row r="85" spans="2:27" x14ac:dyDescent="0.25">
      <c r="B85" s="59" t="s">
        <v>134</v>
      </c>
      <c r="C85" s="59">
        <f>C83+C84</f>
        <v>-46429.440000000002</v>
      </c>
      <c r="D85" s="59">
        <f t="shared" ref="D85:N85" si="56">D83+D84</f>
        <v>-86916.64</v>
      </c>
      <c r="E85" s="59">
        <f t="shared" si="56"/>
        <v>-101903.84</v>
      </c>
      <c r="F85" s="59">
        <f t="shared" si="56"/>
        <v>-146891.03999999998</v>
      </c>
      <c r="G85" s="59">
        <f t="shared" si="56"/>
        <v>-191878.24</v>
      </c>
      <c r="H85" s="59">
        <f t="shared" si="56"/>
        <v>-235365.44</v>
      </c>
      <c r="I85" s="59">
        <f t="shared" si="56"/>
        <v>-280352.64000000001</v>
      </c>
      <c r="J85" s="59">
        <f t="shared" si="56"/>
        <v>-325339.84000000003</v>
      </c>
      <c r="K85" s="59">
        <f t="shared" si="56"/>
        <v>-370327.04000000004</v>
      </c>
      <c r="L85" s="59">
        <f t="shared" si="56"/>
        <v>-423514.24000000005</v>
      </c>
      <c r="M85" s="59">
        <f t="shared" si="56"/>
        <v>-468501.44000000006</v>
      </c>
      <c r="N85" s="59">
        <f t="shared" si="56"/>
        <v>-513488.64000000007</v>
      </c>
      <c r="O85" s="60" t="s">
        <v>164</v>
      </c>
      <c r="P85" s="61">
        <f>N85</f>
        <v>-513488.64000000007</v>
      </c>
      <c r="S85" s="50" t="s">
        <v>47</v>
      </c>
      <c r="T85" s="51">
        <f>T83</f>
        <v>-490060.6857142857</v>
      </c>
    </row>
    <row r="89" spans="2:27" ht="24" x14ac:dyDescent="0.4">
      <c r="B89" s="281" t="s">
        <v>136</v>
      </c>
      <c r="C89" s="281"/>
      <c r="D89" s="281"/>
      <c r="E89" s="281"/>
      <c r="F89" s="281"/>
      <c r="G89" s="281"/>
      <c r="H89" s="281"/>
      <c r="I89" s="281"/>
      <c r="J89" s="281"/>
      <c r="K89" s="281"/>
      <c r="L89" s="281"/>
      <c r="M89" s="281"/>
      <c r="N89" s="281"/>
      <c r="O89" s="281"/>
      <c r="P89" s="281"/>
    </row>
    <row r="92" spans="2:27" x14ac:dyDescent="0.25">
      <c r="B92" s="267" t="s">
        <v>137</v>
      </c>
      <c r="C92" s="267"/>
      <c r="D92" s="267"/>
      <c r="E92" s="267"/>
      <c r="F92" s="267"/>
      <c r="G92" s="267"/>
      <c r="H92" s="267"/>
      <c r="I92" s="267"/>
      <c r="J92" s="267"/>
      <c r="K92" s="267"/>
      <c r="L92" s="267"/>
      <c r="M92" s="267"/>
      <c r="N92" s="267"/>
      <c r="O92" s="267"/>
      <c r="P92" s="267"/>
    </row>
    <row r="93" spans="2:27" x14ac:dyDescent="0.25">
      <c r="B93" s="213"/>
      <c r="C93" s="215" t="s">
        <v>50</v>
      </c>
      <c r="D93" s="215" t="s">
        <v>51</v>
      </c>
      <c r="E93" s="215" t="s">
        <v>52</v>
      </c>
      <c r="F93" s="215" t="s">
        <v>53</v>
      </c>
      <c r="G93" s="215" t="s">
        <v>54</v>
      </c>
      <c r="H93" s="215" t="s">
        <v>55</v>
      </c>
      <c r="I93" s="215" t="s">
        <v>56</v>
      </c>
      <c r="J93" s="215" t="s">
        <v>57</v>
      </c>
      <c r="K93" s="215" t="s">
        <v>58</v>
      </c>
      <c r="L93" s="215" t="s">
        <v>59</v>
      </c>
      <c r="M93" s="215" t="s">
        <v>60</v>
      </c>
      <c r="N93" s="215" t="s">
        <v>61</v>
      </c>
      <c r="O93" s="220" t="s">
        <v>62</v>
      </c>
      <c r="P93" s="221"/>
    </row>
    <row r="94" spans="2:27" x14ac:dyDescent="0.25">
      <c r="B94" s="214"/>
      <c r="C94" s="216"/>
      <c r="D94" s="216"/>
      <c r="E94" s="216"/>
      <c r="F94" s="216"/>
      <c r="G94" s="216"/>
      <c r="H94" s="216"/>
      <c r="I94" s="216"/>
      <c r="J94" s="216"/>
      <c r="K94" s="216"/>
      <c r="L94" s="216"/>
      <c r="M94" s="216"/>
      <c r="N94" s="216"/>
      <c r="O94" s="58" t="s">
        <v>64</v>
      </c>
      <c r="P94" s="58" t="s">
        <v>65</v>
      </c>
    </row>
    <row r="95" spans="2:27" x14ac:dyDescent="0.25">
      <c r="B95" s="35" t="s">
        <v>66</v>
      </c>
      <c r="C95" s="35">
        <f>'Bilan et CDR N+1'!$C$5*1.03/12</f>
        <v>5409.56</v>
      </c>
      <c r="D95" s="35">
        <f>'Bilan et CDR N+1'!$C$5*1.03/12</f>
        <v>5409.56</v>
      </c>
      <c r="E95" s="35">
        <f>'Bilan et CDR N+1'!$C$5*1.03/12</f>
        <v>5409.56</v>
      </c>
      <c r="F95" s="35">
        <f>'Bilan et CDR N+1'!$C$5*1.03/12</f>
        <v>5409.56</v>
      </c>
      <c r="G95" s="35">
        <f>'Bilan et CDR N+1'!$C$5*1.03/12</f>
        <v>5409.56</v>
      </c>
      <c r="H95" s="35">
        <f>'Bilan et CDR N+1'!$C$5*1.03/12</f>
        <v>5409.56</v>
      </c>
      <c r="I95" s="35">
        <f>'Bilan et CDR N+1'!$C$5*1.03/12</f>
        <v>5409.56</v>
      </c>
      <c r="J95" s="35">
        <f>'Bilan et CDR N+1'!$C$5*1.03/12</f>
        <v>5409.56</v>
      </c>
      <c r="K95" s="35">
        <f>'Bilan et CDR N+1'!$C$5*1.03/12</f>
        <v>5409.56</v>
      </c>
      <c r="L95" s="35">
        <f>'Bilan et CDR N+1'!$C$5*1.03/12</f>
        <v>5409.56</v>
      </c>
      <c r="M95" s="35">
        <f>'Bilan et CDR N+1'!$C$5*1.03/12</f>
        <v>5409.56</v>
      </c>
      <c r="N95" s="35">
        <f>'Bilan et CDR N+1'!$C$5*1.03/12</f>
        <v>5409.56</v>
      </c>
      <c r="O95" s="60" t="s">
        <v>1</v>
      </c>
      <c r="P95" s="61">
        <f>SUM(C95:N95)</f>
        <v>64914.719999999994</v>
      </c>
    </row>
    <row r="96" spans="2:27" x14ac:dyDescent="0.25">
      <c r="B96" s="34" t="s">
        <v>68</v>
      </c>
      <c r="C96" s="34">
        <f>C95*20%</f>
        <v>1081.912</v>
      </c>
      <c r="D96" s="34">
        <f t="shared" ref="D96:N96" si="57">D95*20%</f>
        <v>1081.912</v>
      </c>
      <c r="E96" s="34">
        <f t="shared" si="57"/>
        <v>1081.912</v>
      </c>
      <c r="F96" s="34">
        <f t="shared" si="57"/>
        <v>1081.912</v>
      </c>
      <c r="G96" s="34">
        <f t="shared" si="57"/>
        <v>1081.912</v>
      </c>
      <c r="H96" s="34">
        <f t="shared" si="57"/>
        <v>1081.912</v>
      </c>
      <c r="I96" s="34">
        <f t="shared" si="57"/>
        <v>1081.912</v>
      </c>
      <c r="J96" s="34">
        <f t="shared" si="57"/>
        <v>1081.912</v>
      </c>
      <c r="K96" s="34">
        <f t="shared" si="57"/>
        <v>1081.912</v>
      </c>
      <c r="L96" s="34">
        <f t="shared" si="57"/>
        <v>1081.912</v>
      </c>
      <c r="M96" s="34">
        <f t="shared" si="57"/>
        <v>1081.912</v>
      </c>
      <c r="N96" s="34">
        <f t="shared" si="57"/>
        <v>1081.912</v>
      </c>
      <c r="O96" s="34"/>
      <c r="P96" s="34"/>
    </row>
    <row r="97" spans="2:16" x14ac:dyDescent="0.25">
      <c r="B97" s="34" t="s">
        <v>69</v>
      </c>
      <c r="C97" s="34">
        <f>C95+C96</f>
        <v>6491.4720000000007</v>
      </c>
      <c r="D97" s="34">
        <f t="shared" ref="D97:N97" si="58">D95+D96</f>
        <v>6491.4720000000007</v>
      </c>
      <c r="E97" s="34">
        <f t="shared" si="58"/>
        <v>6491.4720000000007</v>
      </c>
      <c r="F97" s="34">
        <f t="shared" si="58"/>
        <v>6491.4720000000007</v>
      </c>
      <c r="G97" s="34">
        <f t="shared" si="58"/>
        <v>6491.4720000000007</v>
      </c>
      <c r="H97" s="34">
        <f t="shared" si="58"/>
        <v>6491.4720000000007</v>
      </c>
      <c r="I97" s="34">
        <f t="shared" si="58"/>
        <v>6491.4720000000007</v>
      </c>
      <c r="J97" s="34">
        <f t="shared" si="58"/>
        <v>6491.4720000000007</v>
      </c>
      <c r="K97" s="34">
        <f t="shared" si="58"/>
        <v>6491.4720000000007</v>
      </c>
      <c r="L97" s="34">
        <f t="shared" si="58"/>
        <v>6491.4720000000007</v>
      </c>
      <c r="M97" s="34">
        <f t="shared" si="58"/>
        <v>6491.4720000000007</v>
      </c>
      <c r="N97" s="34">
        <f t="shared" si="58"/>
        <v>6491.4720000000007</v>
      </c>
      <c r="O97" s="34"/>
      <c r="P97" s="34"/>
    </row>
    <row r="98" spans="2:16" x14ac:dyDescent="0.25">
      <c r="B98" s="81" t="s">
        <v>139</v>
      </c>
      <c r="C98" s="81">
        <f>P8</f>
        <v>6364.8</v>
      </c>
      <c r="D98" s="81">
        <f>C97</f>
        <v>6491.4720000000007</v>
      </c>
      <c r="E98" s="81">
        <f>D97</f>
        <v>6491.4720000000007</v>
      </c>
      <c r="F98" s="81">
        <f>E97</f>
        <v>6491.4720000000007</v>
      </c>
      <c r="G98" s="81">
        <f>F97</f>
        <v>6491.4720000000007</v>
      </c>
      <c r="H98" s="81">
        <f>G97</f>
        <v>6491.4720000000007</v>
      </c>
      <c r="I98" s="81">
        <f t="shared" ref="I98:N98" si="59">H97</f>
        <v>6491.4720000000007</v>
      </c>
      <c r="J98" s="81">
        <f t="shared" si="59"/>
        <v>6491.4720000000007</v>
      </c>
      <c r="K98" s="81">
        <f t="shared" si="59"/>
        <v>6491.4720000000007</v>
      </c>
      <c r="L98" s="81">
        <f t="shared" si="59"/>
        <v>6491.4720000000007</v>
      </c>
      <c r="M98" s="81">
        <f t="shared" si="59"/>
        <v>6491.4720000000007</v>
      </c>
      <c r="N98" s="81">
        <f t="shared" si="59"/>
        <v>6491.4720000000007</v>
      </c>
      <c r="O98" s="82" t="s">
        <v>72</v>
      </c>
      <c r="P98" s="83">
        <f>N97</f>
        <v>6491.4720000000007</v>
      </c>
    </row>
    <row r="99" spans="2:16" x14ac:dyDescent="0.25"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20"/>
    </row>
    <row r="100" spans="2:16" x14ac:dyDescent="0.25"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20"/>
    </row>
    <row r="101" spans="2:16" x14ac:dyDescent="0.25">
      <c r="B101" s="267" t="s">
        <v>140</v>
      </c>
      <c r="C101" s="267"/>
      <c r="D101" s="267"/>
      <c r="E101" s="267"/>
      <c r="F101" s="267"/>
      <c r="G101" s="267"/>
      <c r="H101" s="267"/>
      <c r="I101" s="267"/>
      <c r="J101" s="267"/>
      <c r="K101" s="267"/>
      <c r="L101" s="267"/>
      <c r="M101" s="267"/>
      <c r="N101" s="267"/>
      <c r="O101" s="267"/>
      <c r="P101" s="267"/>
    </row>
    <row r="102" spans="2:16" x14ac:dyDescent="0.25">
      <c r="B102" s="213"/>
      <c r="C102" s="215" t="s">
        <v>50</v>
      </c>
      <c r="D102" s="215" t="s">
        <v>51</v>
      </c>
      <c r="E102" s="215" t="s">
        <v>52</v>
      </c>
      <c r="F102" s="215" t="s">
        <v>53</v>
      </c>
      <c r="G102" s="215" t="s">
        <v>54</v>
      </c>
      <c r="H102" s="215" t="s">
        <v>55</v>
      </c>
      <c r="I102" s="215" t="s">
        <v>56</v>
      </c>
      <c r="J102" s="215" t="s">
        <v>57</v>
      </c>
      <c r="K102" s="215" t="s">
        <v>58</v>
      </c>
      <c r="L102" s="215" t="s">
        <v>59</v>
      </c>
      <c r="M102" s="215" t="s">
        <v>60</v>
      </c>
      <c r="N102" s="215" t="s">
        <v>61</v>
      </c>
      <c r="O102" s="220" t="s">
        <v>62</v>
      </c>
      <c r="P102" s="221"/>
    </row>
    <row r="103" spans="2:16" x14ac:dyDescent="0.25">
      <c r="B103" s="214"/>
      <c r="C103" s="216"/>
      <c r="D103" s="216"/>
      <c r="E103" s="216"/>
      <c r="F103" s="216"/>
      <c r="G103" s="216"/>
      <c r="H103" s="216"/>
      <c r="I103" s="216"/>
      <c r="J103" s="216"/>
      <c r="K103" s="216"/>
      <c r="L103" s="216"/>
      <c r="M103" s="216"/>
      <c r="N103" s="216"/>
      <c r="O103" s="58" t="s">
        <v>64</v>
      </c>
      <c r="P103" s="58" t="s">
        <v>65</v>
      </c>
    </row>
    <row r="104" spans="2:16" x14ac:dyDescent="0.25">
      <c r="B104" s="35" t="s">
        <v>77</v>
      </c>
      <c r="C104" s="35">
        <f>C95*32%</f>
        <v>1731.0592000000001</v>
      </c>
      <c r="D104" s="35">
        <f t="shared" ref="D104:N104" si="60">D95*32%</f>
        <v>1731.0592000000001</v>
      </c>
      <c r="E104" s="35">
        <f t="shared" si="60"/>
        <v>1731.0592000000001</v>
      </c>
      <c r="F104" s="35">
        <f t="shared" si="60"/>
        <v>1731.0592000000001</v>
      </c>
      <c r="G104" s="35">
        <f t="shared" si="60"/>
        <v>1731.0592000000001</v>
      </c>
      <c r="H104" s="35">
        <f t="shared" si="60"/>
        <v>1731.0592000000001</v>
      </c>
      <c r="I104" s="35">
        <f t="shared" si="60"/>
        <v>1731.0592000000001</v>
      </c>
      <c r="J104" s="35">
        <f t="shared" si="60"/>
        <v>1731.0592000000001</v>
      </c>
      <c r="K104" s="35">
        <f t="shared" si="60"/>
        <v>1731.0592000000001</v>
      </c>
      <c r="L104" s="35">
        <f t="shared" si="60"/>
        <v>1731.0592000000001</v>
      </c>
      <c r="M104" s="35">
        <f t="shared" si="60"/>
        <v>1731.0592000000001</v>
      </c>
      <c r="N104" s="35">
        <f t="shared" si="60"/>
        <v>1731.0592000000001</v>
      </c>
      <c r="O104" s="60" t="s">
        <v>78</v>
      </c>
      <c r="P104" s="61">
        <f>SUM(C104:N104)</f>
        <v>20772.7104</v>
      </c>
    </row>
    <row r="105" spans="2:16" x14ac:dyDescent="0.25">
      <c r="B105" s="34" t="s">
        <v>79</v>
      </c>
      <c r="C105" s="34">
        <f>C104*20%</f>
        <v>346.21184000000005</v>
      </c>
      <c r="D105" s="34">
        <f t="shared" ref="D105:N105" si="61">D104*20%</f>
        <v>346.21184000000005</v>
      </c>
      <c r="E105" s="34">
        <f t="shared" si="61"/>
        <v>346.21184000000005</v>
      </c>
      <c r="F105" s="34">
        <f t="shared" si="61"/>
        <v>346.21184000000005</v>
      </c>
      <c r="G105" s="34">
        <f t="shared" si="61"/>
        <v>346.21184000000005</v>
      </c>
      <c r="H105" s="34">
        <f t="shared" si="61"/>
        <v>346.21184000000005</v>
      </c>
      <c r="I105" s="34">
        <f t="shared" si="61"/>
        <v>346.21184000000005</v>
      </c>
      <c r="J105" s="34">
        <f t="shared" si="61"/>
        <v>346.21184000000005</v>
      </c>
      <c r="K105" s="34">
        <f t="shared" si="61"/>
        <v>346.21184000000005</v>
      </c>
      <c r="L105" s="34">
        <f t="shared" si="61"/>
        <v>346.21184000000005</v>
      </c>
      <c r="M105" s="34">
        <f t="shared" si="61"/>
        <v>346.21184000000005</v>
      </c>
      <c r="N105" s="34">
        <f t="shared" si="61"/>
        <v>346.21184000000005</v>
      </c>
      <c r="O105" s="34"/>
      <c r="P105" s="34"/>
    </row>
    <row r="106" spans="2:16" x14ac:dyDescent="0.25">
      <c r="B106" s="34" t="s">
        <v>80</v>
      </c>
      <c r="C106" s="34">
        <f>C104+C105</f>
        <v>2077.2710400000001</v>
      </c>
      <c r="D106" s="34">
        <f t="shared" ref="D106:N106" si="62">D104+D105</f>
        <v>2077.2710400000001</v>
      </c>
      <c r="E106" s="34">
        <f t="shared" si="62"/>
        <v>2077.2710400000001</v>
      </c>
      <c r="F106" s="34">
        <f t="shared" si="62"/>
        <v>2077.2710400000001</v>
      </c>
      <c r="G106" s="34">
        <f t="shared" si="62"/>
        <v>2077.2710400000001</v>
      </c>
      <c r="H106" s="34">
        <f t="shared" si="62"/>
        <v>2077.2710400000001</v>
      </c>
      <c r="I106" s="34">
        <f t="shared" si="62"/>
        <v>2077.2710400000001</v>
      </c>
      <c r="J106" s="34">
        <f t="shared" si="62"/>
        <v>2077.2710400000001</v>
      </c>
      <c r="K106" s="34">
        <f t="shared" si="62"/>
        <v>2077.2710400000001</v>
      </c>
      <c r="L106" s="34">
        <f t="shared" si="62"/>
        <v>2077.2710400000001</v>
      </c>
      <c r="M106" s="34">
        <f t="shared" si="62"/>
        <v>2077.2710400000001</v>
      </c>
      <c r="N106" s="34">
        <f t="shared" si="62"/>
        <v>2077.2710400000001</v>
      </c>
      <c r="O106" s="34"/>
      <c r="P106" s="34"/>
    </row>
    <row r="107" spans="2:16" x14ac:dyDescent="0.25">
      <c r="B107" s="81" t="s">
        <v>81</v>
      </c>
      <c r="C107" s="81">
        <f>C106</f>
        <v>2077.2710400000001</v>
      </c>
      <c r="D107" s="81">
        <f>D106</f>
        <v>2077.2710400000001</v>
      </c>
      <c r="E107" s="81">
        <f t="shared" ref="E107:N107" si="63">E106</f>
        <v>2077.2710400000001</v>
      </c>
      <c r="F107" s="81">
        <f t="shared" si="63"/>
        <v>2077.2710400000001</v>
      </c>
      <c r="G107" s="81">
        <f t="shared" si="63"/>
        <v>2077.2710400000001</v>
      </c>
      <c r="H107" s="81">
        <f t="shared" si="63"/>
        <v>2077.2710400000001</v>
      </c>
      <c r="I107" s="81">
        <f t="shared" si="63"/>
        <v>2077.2710400000001</v>
      </c>
      <c r="J107" s="81">
        <f t="shared" si="63"/>
        <v>2077.2710400000001</v>
      </c>
      <c r="K107" s="81">
        <f t="shared" si="63"/>
        <v>2077.2710400000001</v>
      </c>
      <c r="L107" s="81">
        <f t="shared" si="63"/>
        <v>2077.2710400000001</v>
      </c>
      <c r="M107" s="81">
        <f t="shared" si="63"/>
        <v>2077.2710400000001</v>
      </c>
      <c r="N107" s="81">
        <f t="shared" si="63"/>
        <v>2077.2710400000001</v>
      </c>
      <c r="O107" s="82" t="s">
        <v>82</v>
      </c>
      <c r="P107" s="83">
        <v>0</v>
      </c>
    </row>
    <row r="108" spans="2:16" x14ac:dyDescent="0.25">
      <c r="B108" s="20"/>
      <c r="C108" s="20"/>
      <c r="D108" s="20"/>
      <c r="E108" s="20"/>
      <c r="F108" s="20"/>
      <c r="G108" s="20"/>
      <c r="H108" s="20"/>
      <c r="I108" s="20"/>
      <c r="J108" s="20"/>
      <c r="K108" s="20"/>
      <c r="L108" s="20"/>
      <c r="M108" s="20"/>
      <c r="N108" s="20"/>
      <c r="O108" s="20"/>
      <c r="P108" s="20"/>
    </row>
    <row r="109" spans="2:16" x14ac:dyDescent="0.25">
      <c r="B109" s="20"/>
      <c r="C109" s="20"/>
      <c r="D109" s="20"/>
      <c r="E109" s="20"/>
      <c r="F109" s="20"/>
      <c r="G109" s="20"/>
      <c r="H109" s="20"/>
      <c r="I109" s="20"/>
      <c r="J109" s="20"/>
      <c r="K109" s="20"/>
      <c r="L109" s="20"/>
      <c r="M109" s="20"/>
      <c r="N109" s="20"/>
      <c r="O109" s="20"/>
      <c r="P109" s="20"/>
    </row>
    <row r="110" spans="2:16" x14ac:dyDescent="0.25">
      <c r="B110" s="267" t="s">
        <v>168</v>
      </c>
      <c r="C110" s="267"/>
      <c r="D110" s="267"/>
      <c r="E110" s="267"/>
      <c r="F110" s="267"/>
      <c r="G110" s="267"/>
      <c r="H110" s="267"/>
      <c r="I110" s="267"/>
      <c r="J110" s="267"/>
      <c r="K110" s="267"/>
      <c r="L110" s="267"/>
      <c r="M110" s="267"/>
      <c r="N110" s="267"/>
      <c r="O110" s="267"/>
      <c r="P110" s="267"/>
    </row>
    <row r="111" spans="2:16" x14ac:dyDescent="0.25">
      <c r="B111" s="213"/>
      <c r="C111" s="215" t="s">
        <v>50</v>
      </c>
      <c r="D111" s="215" t="s">
        <v>51</v>
      </c>
      <c r="E111" s="215" t="s">
        <v>52</v>
      </c>
      <c r="F111" s="215" t="s">
        <v>53</v>
      </c>
      <c r="G111" s="215" t="s">
        <v>54</v>
      </c>
      <c r="H111" s="215" t="s">
        <v>55</v>
      </c>
      <c r="I111" s="215" t="s">
        <v>56</v>
      </c>
      <c r="J111" s="215" t="s">
        <v>57</v>
      </c>
      <c r="K111" s="215" t="s">
        <v>58</v>
      </c>
      <c r="L111" s="215" t="s">
        <v>59</v>
      </c>
      <c r="M111" s="215" t="s">
        <v>60</v>
      </c>
      <c r="N111" s="215" t="s">
        <v>61</v>
      </c>
      <c r="O111" s="220" t="s">
        <v>62</v>
      </c>
      <c r="P111" s="221"/>
    </row>
    <row r="112" spans="2:16" x14ac:dyDescent="0.25">
      <c r="B112" s="214"/>
      <c r="C112" s="216"/>
      <c r="D112" s="216"/>
      <c r="E112" s="216"/>
      <c r="F112" s="216"/>
      <c r="G112" s="216"/>
      <c r="H112" s="216"/>
      <c r="I112" s="216"/>
      <c r="J112" s="216"/>
      <c r="K112" s="216"/>
      <c r="L112" s="216"/>
      <c r="M112" s="216"/>
      <c r="N112" s="216"/>
      <c r="O112" s="58" t="s">
        <v>64</v>
      </c>
      <c r="P112" s="58" t="s">
        <v>65</v>
      </c>
    </row>
    <row r="113" spans="2:16" x14ac:dyDescent="0.25">
      <c r="B113" s="21" t="s">
        <v>84</v>
      </c>
      <c r="C113" s="21">
        <v>7100</v>
      </c>
      <c r="D113" s="21">
        <v>7100</v>
      </c>
      <c r="E113" s="21">
        <v>7100</v>
      </c>
      <c r="F113" s="21">
        <v>7100</v>
      </c>
      <c r="G113" s="21">
        <v>7100</v>
      </c>
      <c r="H113" s="21">
        <v>7100</v>
      </c>
      <c r="I113" s="21">
        <v>7100</v>
      </c>
      <c r="J113" s="21">
        <v>7100</v>
      </c>
      <c r="K113" s="21">
        <v>7100</v>
      </c>
      <c r="L113" s="21">
        <v>7100</v>
      </c>
      <c r="M113" s="21">
        <v>7100</v>
      </c>
      <c r="N113" s="22">
        <v>7100</v>
      </c>
      <c r="O113" s="60" t="s">
        <v>85</v>
      </c>
      <c r="P113" s="61">
        <f>SUM(C113:N113)</f>
        <v>85200</v>
      </c>
    </row>
    <row r="114" spans="2:16" x14ac:dyDescent="0.25">
      <c r="B114" s="21" t="s">
        <v>86</v>
      </c>
      <c r="C114" s="21">
        <f>C113*20%</f>
        <v>1420</v>
      </c>
      <c r="D114" s="21">
        <f t="shared" ref="D114:N114" si="64">D113*20%</f>
        <v>1420</v>
      </c>
      <c r="E114" s="21">
        <f t="shared" si="64"/>
        <v>1420</v>
      </c>
      <c r="F114" s="21">
        <f t="shared" si="64"/>
        <v>1420</v>
      </c>
      <c r="G114" s="21">
        <f t="shared" si="64"/>
        <v>1420</v>
      </c>
      <c r="H114" s="21">
        <f t="shared" si="64"/>
        <v>1420</v>
      </c>
      <c r="I114" s="21">
        <f t="shared" si="64"/>
        <v>1420</v>
      </c>
      <c r="J114" s="21">
        <f t="shared" si="64"/>
        <v>1420</v>
      </c>
      <c r="K114" s="21">
        <f t="shared" si="64"/>
        <v>1420</v>
      </c>
      <c r="L114" s="21">
        <f t="shared" si="64"/>
        <v>1420</v>
      </c>
      <c r="M114" s="21">
        <f t="shared" si="64"/>
        <v>1420</v>
      </c>
      <c r="N114" s="22">
        <f t="shared" si="64"/>
        <v>1420</v>
      </c>
      <c r="O114" s="47"/>
      <c r="P114" s="48"/>
    </row>
    <row r="115" spans="2:16" x14ac:dyDescent="0.25">
      <c r="B115" s="23" t="s">
        <v>87</v>
      </c>
      <c r="C115" s="23">
        <f>C113+C114</f>
        <v>8520</v>
      </c>
      <c r="D115" s="23">
        <f t="shared" ref="D115:N115" si="65">D113+D114</f>
        <v>8520</v>
      </c>
      <c r="E115" s="23">
        <f t="shared" si="65"/>
        <v>8520</v>
      </c>
      <c r="F115" s="23">
        <f t="shared" si="65"/>
        <v>8520</v>
      </c>
      <c r="G115" s="23">
        <f t="shared" si="65"/>
        <v>8520</v>
      </c>
      <c r="H115" s="23">
        <f t="shared" si="65"/>
        <v>8520</v>
      </c>
      <c r="I115" s="23">
        <f t="shared" si="65"/>
        <v>8520</v>
      </c>
      <c r="J115" s="23">
        <f t="shared" si="65"/>
        <v>8520</v>
      </c>
      <c r="K115" s="23">
        <f t="shared" si="65"/>
        <v>8520</v>
      </c>
      <c r="L115" s="23">
        <f t="shared" si="65"/>
        <v>8520</v>
      </c>
      <c r="M115" s="23">
        <f t="shared" si="65"/>
        <v>8520</v>
      </c>
      <c r="N115" s="25">
        <f t="shared" si="65"/>
        <v>8520</v>
      </c>
      <c r="O115" s="34"/>
      <c r="P115" s="34"/>
    </row>
    <row r="116" spans="2:16" x14ac:dyDescent="0.25">
      <c r="B116" s="59" t="s">
        <v>81</v>
      </c>
      <c r="C116" s="59">
        <f>+C113+C114</f>
        <v>8520</v>
      </c>
      <c r="D116" s="59">
        <f t="shared" ref="D116:N116" si="66">+D113+D114</f>
        <v>8520</v>
      </c>
      <c r="E116" s="59">
        <f t="shared" si="66"/>
        <v>8520</v>
      </c>
      <c r="F116" s="59">
        <f t="shared" si="66"/>
        <v>8520</v>
      </c>
      <c r="G116" s="59">
        <f t="shared" si="66"/>
        <v>8520</v>
      </c>
      <c r="H116" s="59">
        <f t="shared" si="66"/>
        <v>8520</v>
      </c>
      <c r="I116" s="59">
        <f t="shared" si="66"/>
        <v>8520</v>
      </c>
      <c r="J116" s="59">
        <f t="shared" si="66"/>
        <v>8520</v>
      </c>
      <c r="K116" s="59">
        <f t="shared" si="66"/>
        <v>8520</v>
      </c>
      <c r="L116" s="59">
        <f t="shared" si="66"/>
        <v>8520</v>
      </c>
      <c r="M116" s="59">
        <f t="shared" si="66"/>
        <v>8520</v>
      </c>
      <c r="N116" s="59">
        <f t="shared" si="66"/>
        <v>8520</v>
      </c>
      <c r="O116" s="47"/>
      <c r="P116" s="34"/>
    </row>
    <row r="117" spans="2:16" x14ac:dyDescent="0.25">
      <c r="B117" s="28" t="s">
        <v>89</v>
      </c>
      <c r="C117" s="21"/>
      <c r="D117" s="21"/>
      <c r="E117" s="21"/>
      <c r="F117" s="21"/>
      <c r="G117" s="21"/>
      <c r="H117" s="21"/>
      <c r="I117" s="21"/>
      <c r="J117" s="21"/>
      <c r="K117" s="21"/>
      <c r="L117" s="21"/>
      <c r="M117" s="21"/>
      <c r="N117" s="22">
        <v>7500</v>
      </c>
      <c r="O117" s="47"/>
      <c r="P117" s="48"/>
    </row>
    <row r="118" spans="2:16" x14ac:dyDescent="0.25">
      <c r="B118" s="26" t="s">
        <v>144</v>
      </c>
      <c r="C118" s="27"/>
      <c r="D118" s="21"/>
      <c r="E118" s="21"/>
      <c r="F118" s="21"/>
      <c r="G118" s="21"/>
      <c r="H118" s="21"/>
      <c r="I118" s="21"/>
      <c r="J118" s="21"/>
      <c r="K118" s="21"/>
      <c r="L118" s="21"/>
      <c r="M118" s="21"/>
      <c r="N118" s="22">
        <f>Emprunt!K5</f>
        <v>3214.2857142857142</v>
      </c>
      <c r="O118" s="60" t="s">
        <v>90</v>
      </c>
      <c r="P118" s="61">
        <f>Emprunt!K5</f>
        <v>3214.2857142857142</v>
      </c>
    </row>
    <row r="119" spans="2:16" x14ac:dyDescent="0.25">
      <c r="B119" s="29" t="s">
        <v>145</v>
      </c>
      <c r="C119" s="21"/>
      <c r="D119" s="21"/>
      <c r="E119" s="21"/>
      <c r="F119" s="21"/>
      <c r="G119" s="21"/>
      <c r="H119" s="21"/>
      <c r="I119" s="21"/>
      <c r="J119" s="21"/>
      <c r="K119" s="21"/>
      <c r="L119" s="21"/>
      <c r="M119" s="21"/>
      <c r="N119" s="22">
        <f>Emprunt!K39</f>
        <v>0</v>
      </c>
      <c r="O119" s="60" t="s">
        <v>90</v>
      </c>
      <c r="P119" s="61">
        <f>Emprunt!K39</f>
        <v>0</v>
      </c>
    </row>
    <row r="120" spans="2:16" x14ac:dyDescent="0.25">
      <c r="B120" s="59" t="s">
        <v>94</v>
      </c>
      <c r="C120" s="59">
        <f>C117+C118</f>
        <v>0</v>
      </c>
      <c r="D120" s="59">
        <f t="shared" ref="D120:M120" si="67">D117+D118</f>
        <v>0</v>
      </c>
      <c r="E120" s="59">
        <f t="shared" si="67"/>
        <v>0</v>
      </c>
      <c r="F120" s="59">
        <f t="shared" si="67"/>
        <v>0</v>
      </c>
      <c r="G120" s="59">
        <f t="shared" si="67"/>
        <v>0</v>
      </c>
      <c r="H120" s="59">
        <f t="shared" si="67"/>
        <v>0</v>
      </c>
      <c r="I120" s="59">
        <f t="shared" si="67"/>
        <v>0</v>
      </c>
      <c r="J120" s="59">
        <f t="shared" si="67"/>
        <v>0</v>
      </c>
      <c r="K120" s="59">
        <f t="shared" si="67"/>
        <v>0</v>
      </c>
      <c r="L120" s="59">
        <f t="shared" si="67"/>
        <v>0</v>
      </c>
      <c r="M120" s="59">
        <f t="shared" si="67"/>
        <v>0</v>
      </c>
      <c r="N120" s="59">
        <f>N117+N118+N119</f>
        <v>10714.285714285714</v>
      </c>
      <c r="O120" s="60" t="s">
        <v>93</v>
      </c>
      <c r="P120" s="61">
        <f>SUM(C120:N120)</f>
        <v>10714.285714285714</v>
      </c>
    </row>
    <row r="121" spans="2:16" x14ac:dyDescent="0.25">
      <c r="B121" s="21" t="s">
        <v>95</v>
      </c>
      <c r="C121" s="21">
        <f t="shared" ref="C121:N121" si="68">307500/12</f>
        <v>25625</v>
      </c>
      <c r="D121" s="21">
        <f t="shared" si="68"/>
        <v>25625</v>
      </c>
      <c r="E121" s="21">
        <f t="shared" si="68"/>
        <v>25625</v>
      </c>
      <c r="F121" s="21">
        <f t="shared" si="68"/>
        <v>25625</v>
      </c>
      <c r="G121" s="21">
        <f t="shared" si="68"/>
        <v>25625</v>
      </c>
      <c r="H121" s="21">
        <f t="shared" si="68"/>
        <v>25625</v>
      </c>
      <c r="I121" s="21">
        <f t="shared" si="68"/>
        <v>25625</v>
      </c>
      <c r="J121" s="21">
        <f t="shared" si="68"/>
        <v>25625</v>
      </c>
      <c r="K121" s="21">
        <f t="shared" si="68"/>
        <v>25625</v>
      </c>
      <c r="L121" s="21">
        <f t="shared" si="68"/>
        <v>25625</v>
      </c>
      <c r="M121" s="21">
        <f t="shared" si="68"/>
        <v>25625</v>
      </c>
      <c r="N121" s="22">
        <f t="shared" si="68"/>
        <v>25625</v>
      </c>
      <c r="O121" s="47"/>
      <c r="P121" s="48"/>
    </row>
    <row r="122" spans="2:16" x14ac:dyDescent="0.25">
      <c r="B122" s="59" t="s">
        <v>96</v>
      </c>
      <c r="C122" s="59">
        <f t="shared" ref="C122:N122" si="69">C121</f>
        <v>25625</v>
      </c>
      <c r="D122" s="59">
        <f t="shared" si="69"/>
        <v>25625</v>
      </c>
      <c r="E122" s="59">
        <f t="shared" si="69"/>
        <v>25625</v>
      </c>
      <c r="F122" s="59">
        <f t="shared" si="69"/>
        <v>25625</v>
      </c>
      <c r="G122" s="59">
        <f t="shared" si="69"/>
        <v>25625</v>
      </c>
      <c r="H122" s="59">
        <f t="shared" si="69"/>
        <v>25625</v>
      </c>
      <c r="I122" s="59">
        <f t="shared" si="69"/>
        <v>25625</v>
      </c>
      <c r="J122" s="59">
        <f t="shared" si="69"/>
        <v>25625</v>
      </c>
      <c r="K122" s="59">
        <f t="shared" si="69"/>
        <v>25625</v>
      </c>
      <c r="L122" s="59">
        <f t="shared" si="69"/>
        <v>25625</v>
      </c>
      <c r="M122" s="59">
        <f t="shared" si="69"/>
        <v>25625</v>
      </c>
      <c r="N122" s="59">
        <f t="shared" si="69"/>
        <v>25625</v>
      </c>
      <c r="O122" s="60" t="s">
        <v>97</v>
      </c>
      <c r="P122" s="61">
        <f>SUM(C122:N122)</f>
        <v>307500</v>
      </c>
    </row>
    <row r="123" spans="2:16" x14ac:dyDescent="0.25">
      <c r="B123" s="21" t="s">
        <v>21</v>
      </c>
      <c r="C123" s="21">
        <f t="shared" ref="C123:N123" si="70">C121*0.4</f>
        <v>10250</v>
      </c>
      <c r="D123" s="21">
        <f t="shared" si="70"/>
        <v>10250</v>
      </c>
      <c r="E123" s="21">
        <f t="shared" si="70"/>
        <v>10250</v>
      </c>
      <c r="F123" s="21">
        <f t="shared" si="70"/>
        <v>10250</v>
      </c>
      <c r="G123" s="21">
        <f t="shared" si="70"/>
        <v>10250</v>
      </c>
      <c r="H123" s="21">
        <f t="shared" si="70"/>
        <v>10250</v>
      </c>
      <c r="I123" s="21">
        <f t="shared" si="70"/>
        <v>10250</v>
      </c>
      <c r="J123" s="21">
        <f t="shared" si="70"/>
        <v>10250</v>
      </c>
      <c r="K123" s="21">
        <f t="shared" si="70"/>
        <v>10250</v>
      </c>
      <c r="L123" s="21">
        <f t="shared" si="70"/>
        <v>10250</v>
      </c>
      <c r="M123" s="21">
        <f t="shared" si="70"/>
        <v>10250</v>
      </c>
      <c r="N123" s="22">
        <f t="shared" si="70"/>
        <v>10250</v>
      </c>
      <c r="O123" s="60" t="s">
        <v>98</v>
      </c>
      <c r="P123" s="61">
        <f>SUM(C123:N123)</f>
        <v>123000</v>
      </c>
    </row>
    <row r="124" spans="2:16" x14ac:dyDescent="0.25">
      <c r="B124" s="59" t="s">
        <v>99</v>
      </c>
      <c r="C124" s="59">
        <f>'Budget Prev 3 années SANS PRECO'!P122</f>
        <v>0</v>
      </c>
      <c r="D124" s="59">
        <f t="shared" ref="D124:N124" si="71">C123</f>
        <v>10250</v>
      </c>
      <c r="E124" s="59">
        <f t="shared" si="71"/>
        <v>10250</v>
      </c>
      <c r="F124" s="59">
        <f t="shared" si="71"/>
        <v>10250</v>
      </c>
      <c r="G124" s="59">
        <f t="shared" si="71"/>
        <v>10250</v>
      </c>
      <c r="H124" s="59">
        <f t="shared" si="71"/>
        <v>10250</v>
      </c>
      <c r="I124" s="59">
        <f t="shared" si="71"/>
        <v>10250</v>
      </c>
      <c r="J124" s="59">
        <f t="shared" si="71"/>
        <v>10250</v>
      </c>
      <c r="K124" s="59">
        <f t="shared" si="71"/>
        <v>10250</v>
      </c>
      <c r="L124" s="59">
        <f t="shared" si="71"/>
        <v>10250</v>
      </c>
      <c r="M124" s="59">
        <f t="shared" si="71"/>
        <v>10250</v>
      </c>
      <c r="N124" s="59">
        <f t="shared" si="71"/>
        <v>10250</v>
      </c>
      <c r="O124" s="60" t="s">
        <v>100</v>
      </c>
      <c r="P124" s="61">
        <f>N123</f>
        <v>10250</v>
      </c>
    </row>
    <row r="125" spans="2:16" x14ac:dyDescent="0.25">
      <c r="B125" s="20"/>
      <c r="C125" s="20"/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P125" s="20"/>
    </row>
    <row r="126" spans="2:16" x14ac:dyDescent="0.25">
      <c r="B126" s="20"/>
      <c r="C126" s="20"/>
      <c r="D126" s="2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20"/>
      <c r="P126" s="20"/>
    </row>
    <row r="127" spans="2:16" x14ac:dyDescent="0.25">
      <c r="B127" s="267" t="s">
        <v>101</v>
      </c>
      <c r="C127" s="267"/>
      <c r="D127" s="267"/>
      <c r="E127" s="267"/>
      <c r="F127" s="267"/>
      <c r="G127" s="267"/>
      <c r="H127" s="267"/>
      <c r="I127" s="267"/>
      <c r="J127" s="267"/>
      <c r="K127" s="267"/>
      <c r="L127" s="267"/>
      <c r="M127" s="267"/>
      <c r="N127" s="267"/>
      <c r="O127" s="267"/>
      <c r="P127" s="267"/>
    </row>
    <row r="128" spans="2:16" x14ac:dyDescent="0.25">
      <c r="B128" s="213"/>
      <c r="C128" s="215" t="s">
        <v>50</v>
      </c>
      <c r="D128" s="215" t="s">
        <v>51</v>
      </c>
      <c r="E128" s="215" t="s">
        <v>52</v>
      </c>
      <c r="F128" s="215" t="s">
        <v>53</v>
      </c>
      <c r="G128" s="215" t="s">
        <v>54</v>
      </c>
      <c r="H128" s="215" t="s">
        <v>55</v>
      </c>
      <c r="I128" s="215" t="s">
        <v>56</v>
      </c>
      <c r="J128" s="215" t="s">
        <v>57</v>
      </c>
      <c r="K128" s="215" t="s">
        <v>58</v>
      </c>
      <c r="L128" s="215" t="s">
        <v>59</v>
      </c>
      <c r="M128" s="215" t="s">
        <v>60</v>
      </c>
      <c r="N128" s="215" t="s">
        <v>61</v>
      </c>
      <c r="O128" s="220" t="s">
        <v>62</v>
      </c>
      <c r="P128" s="221"/>
    </row>
    <row r="129" spans="2:31" x14ac:dyDescent="0.25">
      <c r="B129" s="214"/>
      <c r="C129" s="216"/>
      <c r="D129" s="216"/>
      <c r="E129" s="216"/>
      <c r="F129" s="216"/>
      <c r="G129" s="216"/>
      <c r="H129" s="216"/>
      <c r="I129" s="216"/>
      <c r="J129" s="216"/>
      <c r="K129" s="216"/>
      <c r="L129" s="216"/>
      <c r="M129" s="216"/>
      <c r="N129" s="216"/>
      <c r="O129" s="58" t="s">
        <v>64</v>
      </c>
      <c r="P129" s="58" t="s">
        <v>65</v>
      </c>
    </row>
    <row r="130" spans="2:31" x14ac:dyDescent="0.25">
      <c r="B130" s="46" t="s">
        <v>102</v>
      </c>
      <c r="C130" s="35"/>
      <c r="D130" s="35"/>
      <c r="E130" s="35"/>
      <c r="F130" s="35"/>
      <c r="G130" s="35"/>
      <c r="H130" s="35"/>
      <c r="I130" s="35"/>
      <c r="J130" s="35"/>
      <c r="K130" s="35"/>
      <c r="L130" s="35">
        <v>8200</v>
      </c>
      <c r="M130" s="35"/>
      <c r="N130" s="35"/>
      <c r="O130" s="60" t="s">
        <v>103</v>
      </c>
      <c r="P130" s="61">
        <f>SUM(C130:N130)</f>
        <v>8200</v>
      </c>
    </row>
    <row r="131" spans="2:31" x14ac:dyDescent="0.25">
      <c r="B131" s="34" t="s">
        <v>105</v>
      </c>
      <c r="C131" s="34"/>
      <c r="D131" s="34"/>
      <c r="E131" s="34"/>
      <c r="F131" s="34"/>
      <c r="G131" s="34"/>
      <c r="H131" s="34"/>
      <c r="I131" s="34"/>
      <c r="J131" s="34"/>
      <c r="K131" s="34"/>
      <c r="L131" s="34">
        <v>8200</v>
      </c>
      <c r="M131" s="34"/>
      <c r="N131" s="34"/>
      <c r="O131" s="34"/>
      <c r="P131" s="34"/>
    </row>
    <row r="132" spans="2:31" x14ac:dyDescent="0.25">
      <c r="B132" s="34" t="s">
        <v>106</v>
      </c>
      <c r="C132" s="34">
        <f>$P$41/12</f>
        <v>350</v>
      </c>
      <c r="D132" s="34">
        <f t="shared" ref="D132:N132" si="72">$P$41/12</f>
        <v>350</v>
      </c>
      <c r="E132" s="34">
        <f t="shared" si="72"/>
        <v>350</v>
      </c>
      <c r="F132" s="34">
        <f t="shared" si="72"/>
        <v>350</v>
      </c>
      <c r="G132" s="34">
        <f t="shared" si="72"/>
        <v>350</v>
      </c>
      <c r="H132" s="34">
        <f t="shared" si="72"/>
        <v>350</v>
      </c>
      <c r="I132" s="34">
        <f t="shared" si="72"/>
        <v>350</v>
      </c>
      <c r="J132" s="34">
        <f t="shared" si="72"/>
        <v>350</v>
      </c>
      <c r="K132" s="34">
        <f t="shared" si="72"/>
        <v>350</v>
      </c>
      <c r="L132" s="34">
        <f t="shared" si="72"/>
        <v>350</v>
      </c>
      <c r="M132" s="34">
        <f t="shared" si="72"/>
        <v>350</v>
      </c>
      <c r="N132" s="34">
        <f t="shared" si="72"/>
        <v>350</v>
      </c>
      <c r="O132" s="60" t="s">
        <v>107</v>
      </c>
      <c r="P132" s="61">
        <f>Informations!D27</f>
        <v>2100</v>
      </c>
    </row>
    <row r="133" spans="2:31" x14ac:dyDescent="0.25">
      <c r="B133" s="34" t="s">
        <v>108</v>
      </c>
      <c r="C133" s="34">
        <f>$P$42/12</f>
        <v>5000</v>
      </c>
      <c r="D133" s="34">
        <f t="shared" ref="D133:N133" si="73">$P$42/12</f>
        <v>5000</v>
      </c>
      <c r="E133" s="34">
        <f t="shared" si="73"/>
        <v>5000</v>
      </c>
      <c r="F133" s="34">
        <f t="shared" si="73"/>
        <v>5000</v>
      </c>
      <c r="G133" s="34">
        <f t="shared" si="73"/>
        <v>5000</v>
      </c>
      <c r="H133" s="34">
        <f t="shared" si="73"/>
        <v>5000</v>
      </c>
      <c r="I133" s="34">
        <f t="shared" si="73"/>
        <v>5000</v>
      </c>
      <c r="J133" s="34">
        <f t="shared" si="73"/>
        <v>5000</v>
      </c>
      <c r="K133" s="34">
        <f t="shared" si="73"/>
        <v>5000</v>
      </c>
      <c r="L133" s="34">
        <f t="shared" si="73"/>
        <v>5000</v>
      </c>
      <c r="M133" s="34">
        <f t="shared" si="73"/>
        <v>5000</v>
      </c>
      <c r="N133" s="34">
        <f t="shared" si="73"/>
        <v>5000</v>
      </c>
      <c r="O133" s="60" t="s">
        <v>109</v>
      </c>
      <c r="P133" s="61">
        <f>Informations!E27</f>
        <v>60000</v>
      </c>
    </row>
    <row r="134" spans="2:31" x14ac:dyDescent="0.25">
      <c r="B134" s="59" t="s">
        <v>71</v>
      </c>
      <c r="C134" s="59">
        <f>C132+C133</f>
        <v>5350</v>
      </c>
      <c r="D134" s="59">
        <f t="shared" ref="D134:N134" si="74">D132+D133</f>
        <v>5350</v>
      </c>
      <c r="E134" s="59">
        <f t="shared" si="74"/>
        <v>5350</v>
      </c>
      <c r="F134" s="59">
        <f t="shared" si="74"/>
        <v>5350</v>
      </c>
      <c r="G134" s="59">
        <f t="shared" si="74"/>
        <v>5350</v>
      </c>
      <c r="H134" s="59">
        <f t="shared" si="74"/>
        <v>5350</v>
      </c>
      <c r="I134" s="59">
        <f t="shared" si="74"/>
        <v>5350</v>
      </c>
      <c r="J134" s="59">
        <f t="shared" si="74"/>
        <v>5350</v>
      </c>
      <c r="K134" s="59">
        <f t="shared" si="74"/>
        <v>5350</v>
      </c>
      <c r="L134" s="59">
        <f t="shared" si="74"/>
        <v>5350</v>
      </c>
      <c r="M134" s="59">
        <f t="shared" si="74"/>
        <v>5350</v>
      </c>
      <c r="N134" s="59">
        <f t="shared" si="74"/>
        <v>5350</v>
      </c>
      <c r="O134" s="38"/>
      <c r="P134" s="38"/>
    </row>
    <row r="135" spans="2:31" x14ac:dyDescent="0.25">
      <c r="B135" s="20"/>
      <c r="C135" s="20"/>
      <c r="D135" s="20"/>
      <c r="E135" s="20"/>
      <c r="F135" s="20"/>
      <c r="G135" s="20"/>
      <c r="H135" s="20"/>
      <c r="I135" s="20"/>
      <c r="J135" s="20"/>
      <c r="K135" s="20"/>
      <c r="L135" s="20"/>
      <c r="M135" s="20"/>
      <c r="N135" s="20"/>
      <c r="O135" s="20"/>
      <c r="P135" s="20"/>
    </row>
    <row r="136" spans="2:31" x14ac:dyDescent="0.25">
      <c r="B136" s="20"/>
      <c r="C136" s="20"/>
      <c r="D136" s="20"/>
      <c r="E136" s="20"/>
      <c r="F136" s="20"/>
      <c r="G136" s="20"/>
      <c r="H136" s="20"/>
      <c r="I136" s="20"/>
      <c r="J136" s="20"/>
      <c r="K136" s="20"/>
      <c r="L136" s="20"/>
      <c r="M136" s="20"/>
      <c r="N136" s="20"/>
      <c r="O136" s="20"/>
      <c r="P136" s="20"/>
    </row>
    <row r="137" spans="2:31" x14ac:dyDescent="0.25">
      <c r="B137" s="36" t="s">
        <v>110</v>
      </c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</row>
    <row r="138" spans="2:31" x14ac:dyDescent="0.25">
      <c r="B138" s="213"/>
      <c r="C138" s="215" t="s">
        <v>50</v>
      </c>
      <c r="D138" s="215" t="s">
        <v>51</v>
      </c>
      <c r="E138" s="215" t="s">
        <v>52</v>
      </c>
      <c r="F138" s="215" t="s">
        <v>53</v>
      </c>
      <c r="G138" s="215" t="s">
        <v>54</v>
      </c>
      <c r="H138" s="215" t="s">
        <v>55</v>
      </c>
      <c r="I138" s="215" t="s">
        <v>56</v>
      </c>
      <c r="J138" s="215" t="s">
        <v>57</v>
      </c>
      <c r="K138" s="215" t="s">
        <v>58</v>
      </c>
      <c r="L138" s="215" t="s">
        <v>59</v>
      </c>
      <c r="M138" s="215" t="s">
        <v>60</v>
      </c>
      <c r="N138" s="215" t="s">
        <v>61</v>
      </c>
      <c r="O138" s="220" t="s">
        <v>62</v>
      </c>
      <c r="P138" s="221"/>
    </row>
    <row r="139" spans="2:31" x14ac:dyDescent="0.25">
      <c r="B139" s="214"/>
      <c r="C139" s="216"/>
      <c r="D139" s="216"/>
      <c r="E139" s="216"/>
      <c r="F139" s="216"/>
      <c r="G139" s="216"/>
      <c r="H139" s="216"/>
      <c r="I139" s="216"/>
      <c r="J139" s="216"/>
      <c r="K139" s="216"/>
      <c r="L139" s="216"/>
      <c r="M139" s="216"/>
      <c r="N139" s="216"/>
      <c r="O139" s="58" t="s">
        <v>64</v>
      </c>
      <c r="P139" s="58" t="s">
        <v>65</v>
      </c>
    </row>
    <row r="140" spans="2:31" x14ac:dyDescent="0.25">
      <c r="B140" s="35" t="s">
        <v>111</v>
      </c>
      <c r="C140" s="35"/>
      <c r="D140" s="35"/>
      <c r="E140" s="35"/>
      <c r="F140" s="35"/>
      <c r="G140" s="35"/>
      <c r="H140" s="35">
        <f>Emprunt!J39</f>
        <v>0</v>
      </c>
      <c r="I140" s="35"/>
      <c r="J140" s="35"/>
      <c r="K140" s="35"/>
      <c r="L140" s="35"/>
      <c r="M140" s="35"/>
      <c r="N140" s="35"/>
      <c r="O140" s="60" t="s">
        <v>112</v>
      </c>
      <c r="P140" s="61">
        <f>SUM(C140:N140)</f>
        <v>0</v>
      </c>
    </row>
    <row r="141" spans="2:31" x14ac:dyDescent="0.25">
      <c r="B141" s="34" t="s">
        <v>113</v>
      </c>
      <c r="C141" s="34">
        <f>C140*20%</f>
        <v>0</v>
      </c>
      <c r="D141" s="34">
        <f t="shared" ref="D141:N141" si="75">D140*20%</f>
        <v>0</v>
      </c>
      <c r="E141" s="34">
        <f t="shared" si="75"/>
        <v>0</v>
      </c>
      <c r="F141" s="34">
        <f t="shared" si="75"/>
        <v>0</v>
      </c>
      <c r="G141" s="34">
        <f t="shared" si="75"/>
        <v>0</v>
      </c>
      <c r="H141" s="34">
        <f t="shared" si="75"/>
        <v>0</v>
      </c>
      <c r="I141" s="34">
        <f t="shared" si="75"/>
        <v>0</v>
      </c>
      <c r="J141" s="34">
        <f t="shared" si="75"/>
        <v>0</v>
      </c>
      <c r="K141" s="34">
        <f t="shared" si="75"/>
        <v>0</v>
      </c>
      <c r="L141" s="34">
        <f t="shared" si="75"/>
        <v>0</v>
      </c>
      <c r="M141" s="34">
        <f t="shared" si="75"/>
        <v>0</v>
      </c>
      <c r="N141" s="34">
        <f t="shared" si="75"/>
        <v>0</v>
      </c>
      <c r="O141" s="34"/>
      <c r="P141" s="34"/>
    </row>
    <row r="142" spans="2:31" x14ac:dyDescent="0.25">
      <c r="B142" s="34" t="s">
        <v>114</v>
      </c>
      <c r="C142" s="34">
        <f>C140+C141</f>
        <v>0</v>
      </c>
      <c r="D142" s="34">
        <f t="shared" ref="D142:N142" si="76">D140+D141</f>
        <v>0</v>
      </c>
      <c r="E142" s="34">
        <f t="shared" si="76"/>
        <v>0</v>
      </c>
      <c r="F142" s="34">
        <f t="shared" si="76"/>
        <v>0</v>
      </c>
      <c r="G142" s="34">
        <f t="shared" si="76"/>
        <v>0</v>
      </c>
      <c r="H142" s="34">
        <f t="shared" si="76"/>
        <v>0</v>
      </c>
      <c r="I142" s="34">
        <f t="shared" si="76"/>
        <v>0</v>
      </c>
      <c r="J142" s="34">
        <f t="shared" si="76"/>
        <v>0</v>
      </c>
      <c r="K142" s="34">
        <f t="shared" si="76"/>
        <v>0</v>
      </c>
      <c r="L142" s="34">
        <f t="shared" si="76"/>
        <v>0</v>
      </c>
      <c r="M142" s="34">
        <f t="shared" si="76"/>
        <v>0</v>
      </c>
      <c r="N142" s="34">
        <f t="shared" si="76"/>
        <v>0</v>
      </c>
      <c r="O142" s="34"/>
      <c r="P142" s="34"/>
      <c r="S142" s="283" t="s">
        <v>203</v>
      </c>
      <c r="T142" s="283" t="s">
        <v>50</v>
      </c>
      <c r="U142" s="283" t="s">
        <v>51</v>
      </c>
      <c r="V142" s="283" t="s">
        <v>52</v>
      </c>
      <c r="W142" s="283" t="s">
        <v>53</v>
      </c>
      <c r="X142" s="283" t="s">
        <v>54</v>
      </c>
      <c r="Y142" s="283" t="s">
        <v>55</v>
      </c>
      <c r="Z142" s="283" t="s">
        <v>56</v>
      </c>
      <c r="AA142" s="283" t="s">
        <v>57</v>
      </c>
      <c r="AB142" s="283" t="s">
        <v>58</v>
      </c>
      <c r="AC142" s="283" t="s">
        <v>59</v>
      </c>
      <c r="AD142" s="283" t="s">
        <v>60</v>
      </c>
      <c r="AE142" s="283" t="s">
        <v>61</v>
      </c>
    </row>
    <row r="143" spans="2:31" x14ac:dyDescent="0.25">
      <c r="B143" s="59" t="s">
        <v>81</v>
      </c>
      <c r="C143" s="59">
        <f>C142</f>
        <v>0</v>
      </c>
      <c r="D143" s="59">
        <f t="shared" ref="D143:N143" si="77">D142</f>
        <v>0</v>
      </c>
      <c r="E143" s="59">
        <f t="shared" si="77"/>
        <v>0</v>
      </c>
      <c r="F143" s="59">
        <f t="shared" si="77"/>
        <v>0</v>
      </c>
      <c r="G143" s="59">
        <f t="shared" si="77"/>
        <v>0</v>
      </c>
      <c r="H143" s="59">
        <f t="shared" si="77"/>
        <v>0</v>
      </c>
      <c r="I143" s="59">
        <f t="shared" si="77"/>
        <v>0</v>
      </c>
      <c r="J143" s="59">
        <f t="shared" si="77"/>
        <v>0</v>
      </c>
      <c r="K143" s="59">
        <f t="shared" si="77"/>
        <v>0</v>
      </c>
      <c r="L143" s="59">
        <f t="shared" si="77"/>
        <v>0</v>
      </c>
      <c r="M143" s="59">
        <f t="shared" si="77"/>
        <v>0</v>
      </c>
      <c r="N143" s="59">
        <f t="shared" si="77"/>
        <v>0</v>
      </c>
      <c r="O143" s="60" t="s">
        <v>115</v>
      </c>
      <c r="P143" s="61">
        <v>0</v>
      </c>
      <c r="S143" s="283"/>
      <c r="T143" s="283"/>
      <c r="U143" s="283"/>
      <c r="V143" s="283"/>
      <c r="W143" s="283"/>
      <c r="X143" s="283"/>
      <c r="Y143" s="283"/>
      <c r="Z143" s="283"/>
      <c r="AA143" s="283"/>
      <c r="AB143" s="283"/>
      <c r="AC143" s="283"/>
      <c r="AD143" s="283"/>
      <c r="AE143" s="283"/>
    </row>
    <row r="144" spans="2:31" x14ac:dyDescent="0.25">
      <c r="B144" s="20"/>
      <c r="C144" s="20" t="s">
        <v>149</v>
      </c>
      <c r="D144" s="20"/>
      <c r="E144" s="20"/>
      <c r="F144" s="20"/>
      <c r="G144" s="20"/>
      <c r="H144" s="20"/>
      <c r="I144" s="20"/>
      <c r="J144" s="20"/>
      <c r="K144" s="20"/>
      <c r="L144" s="20"/>
      <c r="M144" s="20"/>
      <c r="N144" s="20"/>
      <c r="O144" s="20"/>
      <c r="P144" s="20"/>
      <c r="S144" s="88" t="s">
        <v>204</v>
      </c>
      <c r="T144" s="89">
        <f t="shared" ref="T144:AE144" si="78">C163</f>
        <v>6364.8</v>
      </c>
      <c r="U144" s="89">
        <f t="shared" si="78"/>
        <v>6491.4720000000007</v>
      </c>
      <c r="V144" s="89">
        <f t="shared" si="78"/>
        <v>6491.4720000000007</v>
      </c>
      <c r="W144" s="89">
        <f t="shared" si="78"/>
        <v>6491.4720000000007</v>
      </c>
      <c r="X144" s="89">
        <f t="shared" si="78"/>
        <v>6491.4720000000007</v>
      </c>
      <c r="Y144" s="89">
        <f t="shared" si="78"/>
        <v>6491.4720000000007</v>
      </c>
      <c r="Z144" s="89">
        <f t="shared" si="78"/>
        <v>6491.4720000000007</v>
      </c>
      <c r="AA144" s="89">
        <f t="shared" si="78"/>
        <v>6491.4720000000007</v>
      </c>
      <c r="AB144" s="89">
        <f t="shared" si="78"/>
        <v>6491.4720000000007</v>
      </c>
      <c r="AC144" s="89">
        <f t="shared" si="78"/>
        <v>6491.4720000000007</v>
      </c>
      <c r="AD144" s="89">
        <f t="shared" si="78"/>
        <v>6491.4720000000007</v>
      </c>
      <c r="AE144" s="89">
        <f t="shared" si="78"/>
        <v>6491.4720000000007</v>
      </c>
    </row>
    <row r="145" spans="2:39" x14ac:dyDescent="0.25">
      <c r="B145" s="20"/>
      <c r="C145" s="20"/>
      <c r="D145" s="20"/>
      <c r="E145" s="20"/>
      <c r="F145" s="20"/>
      <c r="G145" s="20"/>
      <c r="H145" s="20"/>
      <c r="I145" s="20"/>
      <c r="J145" s="20"/>
      <c r="K145" s="20"/>
      <c r="L145" s="20"/>
      <c r="M145" s="20"/>
      <c r="N145" s="20"/>
      <c r="O145" s="20"/>
      <c r="P145" s="20"/>
      <c r="S145" s="87" t="s">
        <v>205</v>
      </c>
      <c r="T145" s="86"/>
      <c r="U145" s="86"/>
      <c r="V145" s="86"/>
      <c r="W145" s="86"/>
      <c r="X145" s="86"/>
      <c r="Y145" s="86"/>
      <c r="Z145" s="86"/>
      <c r="AA145" s="86"/>
      <c r="AB145" s="86"/>
      <c r="AC145" s="86"/>
      <c r="AD145" s="86"/>
      <c r="AE145" s="86"/>
    </row>
    <row r="146" spans="2:39" x14ac:dyDescent="0.25">
      <c r="B146" s="36" t="s">
        <v>116</v>
      </c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S146" s="87" t="s">
        <v>206</v>
      </c>
      <c r="T146" s="86"/>
      <c r="U146" s="86"/>
      <c r="V146" s="86"/>
      <c r="W146" s="86"/>
      <c r="X146" s="86"/>
      <c r="Y146" s="86"/>
      <c r="Z146" s="86"/>
      <c r="AA146" s="86"/>
      <c r="AB146" s="86"/>
      <c r="AC146" s="86"/>
      <c r="AD146" s="86"/>
      <c r="AE146" s="86"/>
    </row>
    <row r="147" spans="2:39" x14ac:dyDescent="0.25">
      <c r="B147" s="213"/>
      <c r="C147" s="215" t="s">
        <v>50</v>
      </c>
      <c r="D147" s="215" t="s">
        <v>51</v>
      </c>
      <c r="E147" s="215" t="s">
        <v>52</v>
      </c>
      <c r="F147" s="215" t="s">
        <v>53</v>
      </c>
      <c r="G147" s="215" t="s">
        <v>54</v>
      </c>
      <c r="H147" s="215" t="s">
        <v>55</v>
      </c>
      <c r="I147" s="215" t="s">
        <v>56</v>
      </c>
      <c r="J147" s="215" t="s">
        <v>57</v>
      </c>
      <c r="K147" s="215" t="s">
        <v>58</v>
      </c>
      <c r="L147" s="215" t="s">
        <v>59</v>
      </c>
      <c r="M147" s="215" t="s">
        <v>60</v>
      </c>
      <c r="N147" s="215" t="s">
        <v>61</v>
      </c>
      <c r="O147" s="220" t="s">
        <v>62</v>
      </c>
      <c r="P147" s="221"/>
      <c r="S147" s="87" t="s">
        <v>207</v>
      </c>
      <c r="T147" s="86"/>
      <c r="U147" s="86"/>
      <c r="V147" s="86"/>
      <c r="W147" s="86"/>
      <c r="X147" s="86"/>
      <c r="Y147" s="86">
        <f>10473</f>
        <v>10473</v>
      </c>
      <c r="Z147" s="86"/>
      <c r="AA147" s="86">
        <f>455</f>
        <v>455</v>
      </c>
      <c r="AB147" s="86">
        <f>1593</f>
        <v>1593</v>
      </c>
      <c r="AC147" s="86">
        <f>9873</f>
        <v>9873</v>
      </c>
      <c r="AD147" s="86">
        <f>2252</f>
        <v>2252</v>
      </c>
      <c r="AE147" s="86">
        <f>1718</f>
        <v>1718</v>
      </c>
    </row>
    <row r="148" spans="2:39" x14ac:dyDescent="0.25">
      <c r="B148" s="214"/>
      <c r="C148" s="216"/>
      <c r="D148" s="216"/>
      <c r="E148" s="216"/>
      <c r="F148" s="216"/>
      <c r="G148" s="216"/>
      <c r="H148" s="216"/>
      <c r="I148" s="216"/>
      <c r="J148" s="216"/>
      <c r="K148" s="216"/>
      <c r="L148" s="216"/>
      <c r="M148" s="216"/>
      <c r="N148" s="216"/>
      <c r="O148" s="58" t="s">
        <v>64</v>
      </c>
      <c r="P148" s="58" t="s">
        <v>65</v>
      </c>
      <c r="S148" s="88" t="s">
        <v>210</v>
      </c>
      <c r="T148" s="89">
        <f t="shared" ref="T148:AE148" si="79">T144+T147</f>
        <v>6364.8</v>
      </c>
      <c r="U148" s="89">
        <f t="shared" si="79"/>
        <v>6491.4720000000007</v>
      </c>
      <c r="V148" s="89">
        <f t="shared" si="79"/>
        <v>6491.4720000000007</v>
      </c>
      <c r="W148" s="89">
        <f t="shared" si="79"/>
        <v>6491.4720000000007</v>
      </c>
      <c r="X148" s="89">
        <f t="shared" si="79"/>
        <v>6491.4720000000007</v>
      </c>
      <c r="Y148" s="89">
        <f t="shared" si="79"/>
        <v>16964.472000000002</v>
      </c>
      <c r="Z148" s="89">
        <f t="shared" si="79"/>
        <v>6491.4720000000007</v>
      </c>
      <c r="AA148" s="89">
        <f t="shared" si="79"/>
        <v>6946.4720000000007</v>
      </c>
      <c r="AB148" s="89">
        <f t="shared" si="79"/>
        <v>8084.4720000000007</v>
      </c>
      <c r="AC148" s="89">
        <f t="shared" si="79"/>
        <v>16364.472000000002</v>
      </c>
      <c r="AD148" s="89">
        <f t="shared" si="79"/>
        <v>8743.4720000000016</v>
      </c>
      <c r="AE148" s="89">
        <f t="shared" si="79"/>
        <v>8209.4720000000016</v>
      </c>
    </row>
    <row r="149" spans="2:39" x14ac:dyDescent="0.25">
      <c r="B149" s="59" t="s">
        <v>68</v>
      </c>
      <c r="C149" s="59">
        <f>C96</f>
        <v>1081.912</v>
      </c>
      <c r="D149" s="59">
        <f t="shared" ref="D149:N149" si="80">D96</f>
        <v>1081.912</v>
      </c>
      <c r="E149" s="59">
        <f t="shared" si="80"/>
        <v>1081.912</v>
      </c>
      <c r="F149" s="59">
        <f t="shared" si="80"/>
        <v>1081.912</v>
      </c>
      <c r="G149" s="59">
        <f t="shared" si="80"/>
        <v>1081.912</v>
      </c>
      <c r="H149" s="59">
        <f t="shared" si="80"/>
        <v>1081.912</v>
      </c>
      <c r="I149" s="59">
        <f t="shared" si="80"/>
        <v>1081.912</v>
      </c>
      <c r="J149" s="59">
        <f t="shared" si="80"/>
        <v>1081.912</v>
      </c>
      <c r="K149" s="59">
        <f t="shared" si="80"/>
        <v>1081.912</v>
      </c>
      <c r="L149" s="59">
        <f t="shared" si="80"/>
        <v>1081.912</v>
      </c>
      <c r="M149" s="59">
        <f t="shared" si="80"/>
        <v>1081.912</v>
      </c>
      <c r="N149" s="59">
        <f t="shared" si="80"/>
        <v>1081.912</v>
      </c>
      <c r="O149" s="34"/>
      <c r="P149" s="34"/>
      <c r="S149" s="87" t="s">
        <v>211</v>
      </c>
      <c r="T149" s="86">
        <f t="shared" ref="T149:AE149" si="81">C173</f>
        <v>41572.27104</v>
      </c>
      <c r="U149" s="86">
        <f t="shared" si="81"/>
        <v>51137.9712</v>
      </c>
      <c r="V149" s="86">
        <f t="shared" si="81"/>
        <v>51137.9712</v>
      </c>
      <c r="W149" s="86">
        <f t="shared" si="81"/>
        <v>51137.9712</v>
      </c>
      <c r="X149" s="86">
        <f t="shared" si="81"/>
        <v>51137.9712</v>
      </c>
      <c r="Y149" s="86">
        <f t="shared" si="81"/>
        <v>51137.9712</v>
      </c>
      <c r="Z149" s="86">
        <f t="shared" si="81"/>
        <v>51137.9712</v>
      </c>
      <c r="AA149" s="86">
        <f t="shared" si="81"/>
        <v>51137.9712</v>
      </c>
      <c r="AB149" s="86">
        <f t="shared" si="81"/>
        <v>51137.9712</v>
      </c>
      <c r="AC149" s="86">
        <f t="shared" si="81"/>
        <v>59337.9712</v>
      </c>
      <c r="AD149" s="86">
        <f t="shared" si="81"/>
        <v>51137.9712</v>
      </c>
      <c r="AE149" s="86">
        <f t="shared" si="81"/>
        <v>51137.9712</v>
      </c>
    </row>
    <row r="150" spans="2:39" x14ac:dyDescent="0.25">
      <c r="B150" s="34" t="s">
        <v>79</v>
      </c>
      <c r="C150" s="34">
        <f>C105</f>
        <v>346.21184000000005</v>
      </c>
      <c r="D150" s="34">
        <f t="shared" ref="D150:N150" si="82">D105</f>
        <v>346.21184000000005</v>
      </c>
      <c r="E150" s="34">
        <f t="shared" si="82"/>
        <v>346.21184000000005</v>
      </c>
      <c r="F150" s="34">
        <f t="shared" si="82"/>
        <v>346.21184000000005</v>
      </c>
      <c r="G150" s="34">
        <f t="shared" si="82"/>
        <v>346.21184000000005</v>
      </c>
      <c r="H150" s="34">
        <f t="shared" si="82"/>
        <v>346.21184000000005</v>
      </c>
      <c r="I150" s="34">
        <f t="shared" si="82"/>
        <v>346.21184000000005</v>
      </c>
      <c r="J150" s="34">
        <f t="shared" si="82"/>
        <v>346.21184000000005</v>
      </c>
      <c r="K150" s="34">
        <f t="shared" si="82"/>
        <v>346.21184000000005</v>
      </c>
      <c r="L150" s="34">
        <f t="shared" si="82"/>
        <v>346.21184000000005</v>
      </c>
      <c r="M150" s="34">
        <f t="shared" si="82"/>
        <v>346.21184000000005</v>
      </c>
      <c r="N150" s="34">
        <f t="shared" si="82"/>
        <v>346.21184000000005</v>
      </c>
      <c r="O150" s="34"/>
      <c r="P150" s="34"/>
      <c r="S150" s="87" t="s">
        <v>212</v>
      </c>
      <c r="T150" s="86"/>
      <c r="U150" s="86"/>
      <c r="V150" s="86"/>
      <c r="W150" s="86"/>
      <c r="X150" s="86"/>
      <c r="Y150" s="86"/>
      <c r="Z150" s="86">
        <f>Y147*0.07</f>
        <v>733.11</v>
      </c>
      <c r="AA150" s="86"/>
      <c r="AB150" s="86">
        <f>AA147*0.07</f>
        <v>31.85</v>
      </c>
      <c r="AC150" s="86">
        <f>AB147*0.07</f>
        <v>111.51</v>
      </c>
      <c r="AD150" s="86">
        <f>AC147*0.07</f>
        <v>691.11</v>
      </c>
      <c r="AE150" s="86">
        <f>AD147*0.07</f>
        <v>157.64000000000001</v>
      </c>
    </row>
    <row r="151" spans="2:39" x14ac:dyDescent="0.25">
      <c r="B151" s="34" t="s">
        <v>86</v>
      </c>
      <c r="C151" s="34">
        <f>C114</f>
        <v>1420</v>
      </c>
      <c r="D151" s="34">
        <f t="shared" ref="D151:N151" si="83">D114</f>
        <v>1420</v>
      </c>
      <c r="E151" s="34">
        <f t="shared" si="83"/>
        <v>1420</v>
      </c>
      <c r="F151" s="34">
        <f t="shared" si="83"/>
        <v>1420</v>
      </c>
      <c r="G151" s="34">
        <f t="shared" si="83"/>
        <v>1420</v>
      </c>
      <c r="H151" s="34">
        <f t="shared" si="83"/>
        <v>1420</v>
      </c>
      <c r="I151" s="34">
        <f t="shared" si="83"/>
        <v>1420</v>
      </c>
      <c r="J151" s="34">
        <f t="shared" si="83"/>
        <v>1420</v>
      </c>
      <c r="K151" s="34">
        <f t="shared" si="83"/>
        <v>1420</v>
      </c>
      <c r="L151" s="34">
        <f t="shared" si="83"/>
        <v>1420</v>
      </c>
      <c r="M151" s="34">
        <f t="shared" si="83"/>
        <v>1420</v>
      </c>
      <c r="N151" s="34">
        <f t="shared" si="83"/>
        <v>1420</v>
      </c>
      <c r="O151" s="34"/>
      <c r="P151" s="34"/>
      <c r="S151" s="88" t="s">
        <v>213</v>
      </c>
      <c r="T151" s="89">
        <f t="shared" ref="T151:AE151" si="84">T149+T150</f>
        <v>41572.27104</v>
      </c>
      <c r="U151" s="89">
        <f t="shared" si="84"/>
        <v>51137.9712</v>
      </c>
      <c r="V151" s="89">
        <f t="shared" si="84"/>
        <v>51137.9712</v>
      </c>
      <c r="W151" s="89">
        <f t="shared" si="84"/>
        <v>51137.9712</v>
      </c>
      <c r="X151" s="89">
        <f t="shared" si="84"/>
        <v>51137.9712</v>
      </c>
      <c r="Y151" s="89">
        <f t="shared" si="84"/>
        <v>51137.9712</v>
      </c>
      <c r="Z151" s="89">
        <f t="shared" si="84"/>
        <v>51871.081200000001</v>
      </c>
      <c r="AA151" s="89">
        <f t="shared" si="84"/>
        <v>51137.9712</v>
      </c>
      <c r="AB151" s="89">
        <f t="shared" si="84"/>
        <v>51169.821199999998</v>
      </c>
      <c r="AC151" s="89">
        <f t="shared" si="84"/>
        <v>59449.481200000002</v>
      </c>
      <c r="AD151" s="89">
        <f t="shared" si="84"/>
        <v>51829.081200000001</v>
      </c>
      <c r="AE151" s="89">
        <f t="shared" si="84"/>
        <v>51295.611199999999</v>
      </c>
    </row>
    <row r="152" spans="2:39" x14ac:dyDescent="0.25">
      <c r="B152" s="59" t="s">
        <v>113</v>
      </c>
      <c r="C152" s="59">
        <f>C141</f>
        <v>0</v>
      </c>
      <c r="D152" s="59">
        <f t="shared" ref="D152:N152" si="85">D141</f>
        <v>0</v>
      </c>
      <c r="E152" s="59">
        <f t="shared" si="85"/>
        <v>0</v>
      </c>
      <c r="F152" s="59">
        <f t="shared" si="85"/>
        <v>0</v>
      </c>
      <c r="G152" s="59">
        <f t="shared" si="85"/>
        <v>0</v>
      </c>
      <c r="H152" s="59">
        <f>H141</f>
        <v>0</v>
      </c>
      <c r="I152" s="59">
        <f t="shared" si="85"/>
        <v>0</v>
      </c>
      <c r="J152" s="59">
        <f t="shared" si="85"/>
        <v>0</v>
      </c>
      <c r="K152" s="59">
        <f t="shared" si="85"/>
        <v>0</v>
      </c>
      <c r="L152" s="59">
        <f t="shared" si="85"/>
        <v>0</v>
      </c>
      <c r="M152" s="59">
        <f t="shared" si="85"/>
        <v>0</v>
      </c>
      <c r="N152" s="59">
        <f t="shared" si="85"/>
        <v>0</v>
      </c>
      <c r="O152" s="34"/>
      <c r="P152" s="34"/>
      <c r="S152" s="87" t="s">
        <v>132</v>
      </c>
      <c r="T152" s="86">
        <f>AE57</f>
        <v>-447627.9</v>
      </c>
      <c r="U152" s="86">
        <f t="shared" ref="U152:AE152" si="86">T154</f>
        <v>-482835.37104</v>
      </c>
      <c r="V152" s="86">
        <f t="shared" si="86"/>
        <v>-527481.87023999996</v>
      </c>
      <c r="W152" s="86">
        <f t="shared" si="86"/>
        <v>-572128.36943999992</v>
      </c>
      <c r="X152" s="86">
        <f t="shared" si="86"/>
        <v>-616774.86863999988</v>
      </c>
      <c r="Y152" s="86">
        <f t="shared" si="86"/>
        <v>-661421.36783999985</v>
      </c>
      <c r="Z152" s="86">
        <f t="shared" si="86"/>
        <v>-695594.86703999981</v>
      </c>
      <c r="AA152" s="86">
        <f t="shared" si="86"/>
        <v>-740974.47623999976</v>
      </c>
      <c r="AB152" s="86">
        <f t="shared" si="86"/>
        <v>-785165.97543999972</v>
      </c>
      <c r="AC152" s="86">
        <f t="shared" si="86"/>
        <v>-828251.32463999977</v>
      </c>
      <c r="AD152" s="86">
        <f t="shared" si="86"/>
        <v>-871336.33383999974</v>
      </c>
      <c r="AE152" s="86">
        <f t="shared" si="86"/>
        <v>-914421.94303999969</v>
      </c>
    </row>
    <row r="153" spans="2:39" x14ac:dyDescent="0.25">
      <c r="B153" s="44" t="s">
        <v>117</v>
      </c>
      <c r="C153" s="42">
        <f>C150+C151+C152</f>
        <v>1766.2118399999999</v>
      </c>
      <c r="D153" s="42">
        <f t="shared" ref="D153:N153" si="87">D150+D151+D152</f>
        <v>1766.2118399999999</v>
      </c>
      <c r="E153" s="42">
        <f t="shared" si="87"/>
        <v>1766.2118399999999</v>
      </c>
      <c r="F153" s="42">
        <f t="shared" si="87"/>
        <v>1766.2118399999999</v>
      </c>
      <c r="G153" s="42">
        <f t="shared" si="87"/>
        <v>1766.2118399999999</v>
      </c>
      <c r="H153" s="42">
        <f t="shared" si="87"/>
        <v>1766.2118399999999</v>
      </c>
      <c r="I153" s="42">
        <f t="shared" si="87"/>
        <v>1766.2118399999999</v>
      </c>
      <c r="J153" s="42">
        <f t="shared" si="87"/>
        <v>1766.2118399999999</v>
      </c>
      <c r="K153" s="42">
        <f t="shared" si="87"/>
        <v>1766.2118399999999</v>
      </c>
      <c r="L153" s="42">
        <f t="shared" si="87"/>
        <v>1766.2118399999999</v>
      </c>
      <c r="M153" s="42">
        <f t="shared" si="87"/>
        <v>1766.2118399999999</v>
      </c>
      <c r="N153" s="42">
        <f t="shared" si="87"/>
        <v>1766.2118399999999</v>
      </c>
      <c r="O153" s="34"/>
      <c r="P153" s="34"/>
      <c r="S153" s="87" t="s">
        <v>133</v>
      </c>
      <c r="T153" s="86">
        <f t="shared" ref="T153:AE153" si="88">T148-T151</f>
        <v>-35207.471039999997</v>
      </c>
      <c r="U153" s="86">
        <f t="shared" si="88"/>
        <v>-44646.499199999998</v>
      </c>
      <c r="V153" s="86">
        <f t="shared" si="88"/>
        <v>-44646.499199999998</v>
      </c>
      <c r="W153" s="86">
        <f t="shared" si="88"/>
        <v>-44646.499199999998</v>
      </c>
      <c r="X153" s="86">
        <f t="shared" si="88"/>
        <v>-44646.499199999998</v>
      </c>
      <c r="Y153" s="86">
        <f t="shared" si="88"/>
        <v>-34173.499199999998</v>
      </c>
      <c r="Z153" s="86">
        <f t="shared" si="88"/>
        <v>-45379.609199999999</v>
      </c>
      <c r="AA153" s="86">
        <f t="shared" si="88"/>
        <v>-44191.499199999998</v>
      </c>
      <c r="AB153" s="86">
        <f t="shared" si="88"/>
        <v>-43085.349199999997</v>
      </c>
      <c r="AC153" s="86">
        <f t="shared" si="88"/>
        <v>-43085.0092</v>
      </c>
      <c r="AD153" s="86">
        <f t="shared" si="88"/>
        <v>-43085.609199999999</v>
      </c>
      <c r="AE153" s="86">
        <f t="shared" si="88"/>
        <v>-43086.139199999998</v>
      </c>
    </row>
    <row r="154" spans="2:39" x14ac:dyDescent="0.25">
      <c r="B154" s="45" t="s">
        <v>118</v>
      </c>
      <c r="C154" s="43">
        <f>C149-C153</f>
        <v>-684.2998399999999</v>
      </c>
      <c r="D154" s="43">
        <f t="shared" ref="D154:N154" si="89">D149-D153</f>
        <v>-684.2998399999999</v>
      </c>
      <c r="E154" s="43">
        <f t="shared" si="89"/>
        <v>-684.2998399999999</v>
      </c>
      <c r="F154" s="43">
        <f t="shared" si="89"/>
        <v>-684.2998399999999</v>
      </c>
      <c r="G154" s="43">
        <f t="shared" si="89"/>
        <v>-684.2998399999999</v>
      </c>
      <c r="H154" s="43">
        <f t="shared" si="89"/>
        <v>-684.2998399999999</v>
      </c>
      <c r="I154" s="43">
        <f t="shared" si="89"/>
        <v>-684.2998399999999</v>
      </c>
      <c r="J154" s="43">
        <f t="shared" si="89"/>
        <v>-684.2998399999999</v>
      </c>
      <c r="K154" s="43">
        <f t="shared" si="89"/>
        <v>-684.2998399999999</v>
      </c>
      <c r="L154" s="43">
        <f t="shared" si="89"/>
        <v>-684.2998399999999</v>
      </c>
      <c r="M154" s="43">
        <f t="shared" si="89"/>
        <v>-684.2998399999999</v>
      </c>
      <c r="N154" s="43">
        <f t="shared" si="89"/>
        <v>-684.2998399999999</v>
      </c>
      <c r="O154" s="34"/>
      <c r="P154" s="34"/>
      <c r="S154" s="87" t="s">
        <v>214</v>
      </c>
      <c r="T154" s="86">
        <f t="shared" ref="T154:AE154" si="90">T152+T153</f>
        <v>-482835.37104</v>
      </c>
      <c r="U154" s="86">
        <f t="shared" si="90"/>
        <v>-527481.87023999996</v>
      </c>
      <c r="V154" s="86">
        <f t="shared" si="90"/>
        <v>-572128.36943999992</v>
      </c>
      <c r="W154" s="86">
        <f t="shared" si="90"/>
        <v>-616774.86863999988</v>
      </c>
      <c r="X154" s="86">
        <f t="shared" si="90"/>
        <v>-661421.36783999985</v>
      </c>
      <c r="Y154" s="90">
        <f t="shared" si="90"/>
        <v>-695594.86703999981</v>
      </c>
      <c r="Z154" s="86">
        <f t="shared" si="90"/>
        <v>-740974.47623999976</v>
      </c>
      <c r="AA154" s="86">
        <f t="shared" si="90"/>
        <v>-785165.97543999972</v>
      </c>
      <c r="AB154" s="86">
        <f t="shared" si="90"/>
        <v>-828251.32463999977</v>
      </c>
      <c r="AC154" s="86">
        <f t="shared" si="90"/>
        <v>-871336.33383999974</v>
      </c>
      <c r="AD154" s="86">
        <f t="shared" si="90"/>
        <v>-914421.94303999969</v>
      </c>
      <c r="AE154" s="86">
        <f t="shared" si="90"/>
        <v>-957508.08223999967</v>
      </c>
    </row>
    <row r="155" spans="2:39" x14ac:dyDescent="0.25">
      <c r="B155" s="59" t="s">
        <v>81</v>
      </c>
      <c r="C155" s="59">
        <f>'Budget Prev 3 années SANS PRECO'!P153</f>
        <v>0</v>
      </c>
      <c r="D155" s="59">
        <f>C154</f>
        <v>-684.2998399999999</v>
      </c>
      <c r="E155" s="59">
        <f t="shared" ref="E155:N155" si="91">D154</f>
        <v>-684.2998399999999</v>
      </c>
      <c r="F155" s="59">
        <f t="shared" si="91"/>
        <v>-684.2998399999999</v>
      </c>
      <c r="G155" s="59">
        <f t="shared" si="91"/>
        <v>-684.2998399999999</v>
      </c>
      <c r="H155" s="59">
        <f t="shared" si="91"/>
        <v>-684.2998399999999</v>
      </c>
      <c r="I155" s="59">
        <f t="shared" si="91"/>
        <v>-684.2998399999999</v>
      </c>
      <c r="J155" s="59">
        <f t="shared" si="91"/>
        <v>-684.2998399999999</v>
      </c>
      <c r="K155" s="59">
        <f t="shared" si="91"/>
        <v>-684.2998399999999</v>
      </c>
      <c r="L155" s="59">
        <f t="shared" si="91"/>
        <v>-684.2998399999999</v>
      </c>
      <c r="M155" s="59">
        <f t="shared" si="91"/>
        <v>-684.2998399999999</v>
      </c>
      <c r="N155" s="59">
        <f t="shared" si="91"/>
        <v>-684.2998399999999</v>
      </c>
      <c r="O155" s="60" t="s">
        <v>119</v>
      </c>
      <c r="P155" s="61">
        <f>N154</f>
        <v>-684.2998399999999</v>
      </c>
    </row>
    <row r="156" spans="2:39" x14ac:dyDescent="0.25">
      <c r="B156" s="20"/>
      <c r="C156" s="20"/>
      <c r="D156" s="20"/>
      <c r="E156" s="20"/>
      <c r="F156" s="20"/>
      <c r="G156" s="20"/>
      <c r="H156" s="20"/>
      <c r="I156" s="20"/>
      <c r="J156" s="20"/>
      <c r="K156" s="20"/>
      <c r="L156" s="20"/>
      <c r="M156" s="20"/>
      <c r="N156" s="20"/>
      <c r="O156" s="20"/>
      <c r="P156" s="20"/>
    </row>
    <row r="157" spans="2:39" x14ac:dyDescent="0.25">
      <c r="B157" s="20"/>
      <c r="C157" s="20"/>
      <c r="D157" s="20"/>
      <c r="E157" s="20"/>
      <c r="F157" s="20"/>
      <c r="G157" s="20"/>
      <c r="H157" s="20"/>
      <c r="I157" s="20"/>
      <c r="J157" s="20"/>
      <c r="K157" s="20"/>
      <c r="L157" s="20"/>
      <c r="M157" s="20"/>
      <c r="N157" s="20"/>
      <c r="O157" s="20"/>
      <c r="P157" s="20"/>
    </row>
    <row r="158" spans="2:39" x14ac:dyDescent="0.25">
      <c r="B158" s="36" t="s">
        <v>120</v>
      </c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S158" s="269" t="s">
        <v>215</v>
      </c>
      <c r="T158" s="270"/>
      <c r="V158" s="284" t="s">
        <v>88</v>
      </c>
      <c r="W158" s="284"/>
      <c r="X158" s="284"/>
      <c r="Y158" s="284"/>
      <c r="Z158" s="284"/>
      <c r="AA158" s="284"/>
    </row>
    <row r="159" spans="2:39" x14ac:dyDescent="0.25">
      <c r="B159" s="213"/>
      <c r="C159" s="215" t="s">
        <v>50</v>
      </c>
      <c r="D159" s="215" t="s">
        <v>51</v>
      </c>
      <c r="E159" s="215" t="s">
        <v>52</v>
      </c>
      <c r="F159" s="215" t="s">
        <v>53</v>
      </c>
      <c r="G159" s="215" t="s">
        <v>54</v>
      </c>
      <c r="H159" s="215" t="s">
        <v>55</v>
      </c>
      <c r="I159" s="215" t="s">
        <v>56</v>
      </c>
      <c r="J159" s="215" t="s">
        <v>57</v>
      </c>
      <c r="K159" s="215" t="s">
        <v>58</v>
      </c>
      <c r="L159" s="215" t="s">
        <v>59</v>
      </c>
      <c r="M159" s="215" t="s">
        <v>60</v>
      </c>
      <c r="N159" s="215" t="s">
        <v>61</v>
      </c>
      <c r="O159" s="220" t="s">
        <v>62</v>
      </c>
      <c r="P159" s="221"/>
      <c r="S159" s="8" t="s">
        <v>1</v>
      </c>
      <c r="T159" s="9">
        <f>P95</f>
        <v>64914.719999999994</v>
      </c>
      <c r="V159" s="107" t="s">
        <v>2</v>
      </c>
      <c r="W159" s="108" t="s">
        <v>3</v>
      </c>
      <c r="X159" s="108" t="s">
        <v>4</v>
      </c>
      <c r="Y159" s="108" t="s">
        <v>5</v>
      </c>
      <c r="Z159" s="109" t="s">
        <v>6</v>
      </c>
      <c r="AA159" s="110" t="s">
        <v>5</v>
      </c>
      <c r="AB159" s="287"/>
      <c r="AC159" s="286"/>
      <c r="AD159" s="286"/>
      <c r="AE159" s="286"/>
      <c r="AF159" s="286"/>
      <c r="AG159" s="94"/>
      <c r="AH159" s="94"/>
      <c r="AI159" s="94"/>
      <c r="AJ159" s="94"/>
      <c r="AK159" s="94"/>
      <c r="AL159" s="94"/>
      <c r="AM159" s="94"/>
    </row>
    <row r="160" spans="2:39" x14ac:dyDescent="0.25">
      <c r="B160" s="214"/>
      <c r="C160" s="216"/>
      <c r="D160" s="216"/>
      <c r="E160" s="216"/>
      <c r="F160" s="216"/>
      <c r="G160" s="216"/>
      <c r="H160" s="216"/>
      <c r="I160" s="216"/>
      <c r="J160" s="216"/>
      <c r="K160" s="216"/>
      <c r="L160" s="216"/>
      <c r="M160" s="216"/>
      <c r="N160" s="216"/>
      <c r="O160" s="58" t="s">
        <v>64</v>
      </c>
      <c r="P160" s="58" t="s">
        <v>65</v>
      </c>
      <c r="S160" s="8" t="s">
        <v>67</v>
      </c>
      <c r="T160" s="9">
        <v>0</v>
      </c>
      <c r="V160" s="5" t="s">
        <v>8</v>
      </c>
      <c r="W160" s="5">
        <f>SUM(W161:W164)</f>
        <v>253500</v>
      </c>
      <c r="X160" s="5">
        <f>SUM(X161:X162)</f>
        <v>61520.238095238106</v>
      </c>
      <c r="Y160" s="5">
        <f>SUM(Y161:Y162)</f>
        <v>191979.76190476189</v>
      </c>
      <c r="Z160" s="5" t="s">
        <v>9</v>
      </c>
      <c r="AA160" s="11">
        <f>SUM(AA161:AA164)</f>
        <v>-855882.9618285714</v>
      </c>
      <c r="AB160" s="287"/>
      <c r="AC160" s="286"/>
      <c r="AD160" s="286"/>
      <c r="AE160" s="286"/>
      <c r="AF160" s="286"/>
      <c r="AG160" s="94"/>
      <c r="AH160" s="94"/>
      <c r="AI160" s="94"/>
      <c r="AJ160" s="94"/>
      <c r="AK160" s="94"/>
      <c r="AL160" s="94"/>
      <c r="AM160" s="94"/>
    </row>
    <row r="161" spans="2:39" ht="30" x14ac:dyDescent="0.25">
      <c r="B161" s="35" t="s">
        <v>121</v>
      </c>
      <c r="C161" s="35">
        <f>C98</f>
        <v>6364.8</v>
      </c>
      <c r="D161" s="35">
        <f t="shared" ref="D161:N161" si="92">D98</f>
        <v>6491.4720000000007</v>
      </c>
      <c r="E161" s="35">
        <f t="shared" si="92"/>
        <v>6491.4720000000007</v>
      </c>
      <c r="F161" s="35">
        <f t="shared" si="92"/>
        <v>6491.4720000000007</v>
      </c>
      <c r="G161" s="35">
        <f t="shared" si="92"/>
        <v>6491.4720000000007</v>
      </c>
      <c r="H161" s="35">
        <f t="shared" si="92"/>
        <v>6491.4720000000007</v>
      </c>
      <c r="I161" s="35">
        <f t="shared" si="92"/>
        <v>6491.4720000000007</v>
      </c>
      <c r="J161" s="43">
        <f t="shared" si="92"/>
        <v>6491.4720000000007</v>
      </c>
      <c r="K161" s="35">
        <f t="shared" si="92"/>
        <v>6491.4720000000007</v>
      </c>
      <c r="L161" s="35">
        <f t="shared" si="92"/>
        <v>6491.4720000000007</v>
      </c>
      <c r="M161" s="35">
        <f t="shared" si="92"/>
        <v>6491.4720000000007</v>
      </c>
      <c r="N161" s="35">
        <f t="shared" si="92"/>
        <v>6491.4720000000007</v>
      </c>
      <c r="O161" s="34"/>
      <c r="P161" s="34"/>
      <c r="S161" s="33" t="s">
        <v>10</v>
      </c>
      <c r="T161" s="49">
        <f>T159+T160</f>
        <v>64914.719999999994</v>
      </c>
      <c r="V161" s="6" t="s">
        <v>11</v>
      </c>
      <c r="W161" s="6">
        <f>'Bilan et CDR N+2'!G6</f>
        <v>176000</v>
      </c>
      <c r="X161" s="6">
        <f>'Bilan et CDR N+2'!H6</f>
        <v>20636.526479750781</v>
      </c>
      <c r="Y161" s="6">
        <f>W161-X161</f>
        <v>155363.47352024922</v>
      </c>
      <c r="Z161" s="6" t="s">
        <v>12</v>
      </c>
      <c r="AA161" s="3">
        <v>80000</v>
      </c>
      <c r="AB161" s="95"/>
      <c r="AC161" s="93"/>
      <c r="AD161" s="93"/>
      <c r="AE161" s="93"/>
      <c r="AF161" s="93"/>
      <c r="AG161" s="93"/>
      <c r="AH161" s="93"/>
      <c r="AI161" s="93"/>
      <c r="AJ161" s="93"/>
      <c r="AK161" s="93"/>
      <c r="AL161" s="93"/>
      <c r="AM161" s="93"/>
    </row>
    <row r="162" spans="2:39" x14ac:dyDescent="0.25">
      <c r="B162" s="34" t="s">
        <v>122</v>
      </c>
      <c r="C162" s="34"/>
      <c r="D162" s="34"/>
      <c r="E162" s="34"/>
      <c r="F162" s="34"/>
      <c r="G162" s="34"/>
      <c r="H162" s="34"/>
      <c r="I162" s="34"/>
      <c r="J162" s="34"/>
      <c r="K162" s="34"/>
      <c r="L162" s="34"/>
      <c r="M162" s="34"/>
      <c r="N162" s="34"/>
      <c r="O162" s="34"/>
      <c r="P162" s="34"/>
      <c r="S162" s="8" t="s">
        <v>70</v>
      </c>
      <c r="T162" s="9">
        <f>P104</f>
        <v>20772.7104</v>
      </c>
      <c r="V162" s="6" t="s">
        <v>14</v>
      </c>
      <c r="W162" s="6">
        <f>'Bilan et CDR N+2'!G7</f>
        <v>77500</v>
      </c>
      <c r="X162" s="6">
        <f>'Bilan et CDR N+2'!H7</f>
        <v>40883.711615487322</v>
      </c>
      <c r="Y162" s="6">
        <f>W162-X162</f>
        <v>36616.288384512678</v>
      </c>
      <c r="Z162" s="6" t="s">
        <v>15</v>
      </c>
      <c r="AA162" s="3">
        <v>5000</v>
      </c>
      <c r="AB162" s="96"/>
      <c r="AC162" s="62"/>
      <c r="AD162" s="62"/>
      <c r="AE162" s="62"/>
      <c r="AF162" s="62"/>
      <c r="AG162" s="62"/>
      <c r="AH162" s="62"/>
      <c r="AI162" s="62"/>
      <c r="AJ162" s="62"/>
      <c r="AK162" s="62"/>
      <c r="AL162" s="62"/>
      <c r="AM162" s="62"/>
    </row>
    <row r="163" spans="2:39" x14ac:dyDescent="0.25">
      <c r="B163" s="34" t="s">
        <v>123</v>
      </c>
      <c r="C163" s="34">
        <f>C162+C161</f>
        <v>6364.8</v>
      </c>
      <c r="D163" s="34">
        <f t="shared" ref="D163:N163" si="93">D162+D161</f>
        <v>6491.4720000000007</v>
      </c>
      <c r="E163" s="34">
        <f t="shared" si="93"/>
        <v>6491.4720000000007</v>
      </c>
      <c r="F163" s="34">
        <f t="shared" si="93"/>
        <v>6491.4720000000007</v>
      </c>
      <c r="G163" s="34">
        <f t="shared" si="93"/>
        <v>6491.4720000000007</v>
      </c>
      <c r="H163" s="34">
        <f t="shared" si="93"/>
        <v>6491.4720000000007</v>
      </c>
      <c r="I163" s="34">
        <f t="shared" si="93"/>
        <v>6491.4720000000007</v>
      </c>
      <c r="J163" s="34">
        <f t="shared" si="93"/>
        <v>6491.4720000000007</v>
      </c>
      <c r="K163" s="34">
        <f t="shared" si="93"/>
        <v>6491.4720000000007</v>
      </c>
      <c r="L163" s="34">
        <f t="shared" si="93"/>
        <v>6491.4720000000007</v>
      </c>
      <c r="M163" s="34">
        <f t="shared" si="93"/>
        <v>6491.4720000000007</v>
      </c>
      <c r="N163" s="34">
        <f t="shared" si="93"/>
        <v>6491.4720000000007</v>
      </c>
      <c r="O163" s="34"/>
      <c r="P163" s="34"/>
      <c r="S163" s="8" t="s">
        <v>73</v>
      </c>
      <c r="T163" s="9">
        <f>P113</f>
        <v>85200</v>
      </c>
      <c r="V163" s="5"/>
      <c r="W163" s="5"/>
      <c r="X163" s="5"/>
      <c r="Y163" s="5"/>
      <c r="Z163" s="6" t="s">
        <v>17</v>
      </c>
      <c r="AA163" s="3">
        <f>AA72+AA73</f>
        <v>-448310.6857142857</v>
      </c>
      <c r="AB163" s="96"/>
      <c r="AC163" s="62"/>
      <c r="AD163" s="62"/>
      <c r="AE163" s="62"/>
      <c r="AF163" s="62"/>
      <c r="AG163" s="62"/>
      <c r="AH163" s="62"/>
      <c r="AI163" s="62"/>
      <c r="AJ163" s="62"/>
      <c r="AK163" s="62"/>
      <c r="AL163" s="62"/>
      <c r="AM163" s="62"/>
    </row>
    <row r="164" spans="2:39" x14ac:dyDescent="0.25">
      <c r="B164" s="59" t="s">
        <v>124</v>
      </c>
      <c r="C164" s="59">
        <f>C107</f>
        <v>2077.2710400000001</v>
      </c>
      <c r="D164" s="59">
        <f t="shared" ref="D164:N164" si="94">D107</f>
        <v>2077.2710400000001</v>
      </c>
      <c r="E164" s="59">
        <f t="shared" si="94"/>
        <v>2077.2710400000001</v>
      </c>
      <c r="F164" s="59">
        <f t="shared" si="94"/>
        <v>2077.2710400000001</v>
      </c>
      <c r="G164" s="59">
        <f t="shared" si="94"/>
        <v>2077.2710400000001</v>
      </c>
      <c r="H164" s="59">
        <f t="shared" si="94"/>
        <v>2077.2710400000001</v>
      </c>
      <c r="I164" s="59">
        <f t="shared" si="94"/>
        <v>2077.2710400000001</v>
      </c>
      <c r="J164" s="59">
        <f t="shared" si="94"/>
        <v>2077.2710400000001</v>
      </c>
      <c r="K164" s="59">
        <f t="shared" si="94"/>
        <v>2077.2710400000001</v>
      </c>
      <c r="L164" s="59">
        <f t="shared" si="94"/>
        <v>2077.2710400000001</v>
      </c>
      <c r="M164" s="59">
        <f t="shared" si="94"/>
        <v>2077.2710400000001</v>
      </c>
      <c r="N164" s="59">
        <f t="shared" si="94"/>
        <v>2077.2710400000001</v>
      </c>
      <c r="O164" s="34"/>
      <c r="P164" s="34"/>
      <c r="S164" s="8" t="s">
        <v>18</v>
      </c>
      <c r="T164" s="9">
        <f>P130</f>
        <v>8200</v>
      </c>
      <c r="V164" s="6"/>
      <c r="W164" s="6"/>
      <c r="X164" s="6"/>
      <c r="Y164" s="6"/>
      <c r="Z164" s="6" t="s">
        <v>19</v>
      </c>
      <c r="AA164" s="3">
        <f>T176</f>
        <v>-492572.27611428569</v>
      </c>
      <c r="AB164" s="96"/>
      <c r="AC164" s="62"/>
      <c r="AD164" s="62"/>
      <c r="AE164" s="62"/>
      <c r="AF164" s="62"/>
      <c r="AG164" s="62"/>
      <c r="AH164" s="62"/>
      <c r="AI164" s="62"/>
      <c r="AJ164" s="62"/>
      <c r="AK164" s="62"/>
      <c r="AL164" s="62"/>
      <c r="AM164" s="62"/>
    </row>
    <row r="165" spans="2:39" x14ac:dyDescent="0.25">
      <c r="B165" s="39" t="s">
        <v>125</v>
      </c>
      <c r="C165" s="41"/>
      <c r="D165" s="41"/>
      <c r="E165" s="41"/>
      <c r="F165" s="41"/>
      <c r="G165" s="41"/>
      <c r="H165" s="41"/>
      <c r="I165" s="41"/>
      <c r="J165" s="41"/>
      <c r="K165" s="41"/>
      <c r="L165" s="41"/>
      <c r="M165" s="41"/>
      <c r="N165" s="41"/>
      <c r="O165" s="34"/>
      <c r="P165" s="34"/>
      <c r="S165" s="8" t="s">
        <v>20</v>
      </c>
      <c r="T165" s="9">
        <f>P122</f>
        <v>307500</v>
      </c>
      <c r="V165" s="96"/>
      <c r="W165" s="63"/>
      <c r="X165" s="62"/>
      <c r="Y165" s="63"/>
      <c r="Z165" s="3"/>
      <c r="AA165" s="11"/>
      <c r="AB165" s="95"/>
      <c r="AC165" s="93"/>
      <c r="AD165" s="93"/>
      <c r="AE165" s="93"/>
      <c r="AF165" s="93"/>
      <c r="AG165" s="93"/>
      <c r="AH165" s="93"/>
      <c r="AI165" s="93"/>
      <c r="AJ165" s="93"/>
      <c r="AK165" s="93"/>
      <c r="AL165" s="93"/>
      <c r="AM165" s="93"/>
    </row>
    <row r="166" spans="2:39" x14ac:dyDescent="0.25">
      <c r="B166" s="39" t="s">
        <v>126</v>
      </c>
      <c r="C166" s="41">
        <f>C122</f>
        <v>25625</v>
      </c>
      <c r="D166" s="41">
        <f t="shared" ref="D166:N166" si="95">D122</f>
        <v>25625</v>
      </c>
      <c r="E166" s="41">
        <f t="shared" si="95"/>
        <v>25625</v>
      </c>
      <c r="F166" s="41">
        <f t="shared" si="95"/>
        <v>25625</v>
      </c>
      <c r="G166" s="41">
        <f t="shared" si="95"/>
        <v>25625</v>
      </c>
      <c r="H166" s="41">
        <f t="shared" si="95"/>
        <v>25625</v>
      </c>
      <c r="I166" s="41">
        <f t="shared" si="95"/>
        <v>25625</v>
      </c>
      <c r="J166" s="41">
        <f t="shared" si="95"/>
        <v>25625</v>
      </c>
      <c r="K166" s="41">
        <f t="shared" si="95"/>
        <v>25625</v>
      </c>
      <c r="L166" s="41">
        <f t="shared" si="95"/>
        <v>25625</v>
      </c>
      <c r="M166" s="41">
        <f t="shared" si="95"/>
        <v>25625</v>
      </c>
      <c r="N166" s="41">
        <f t="shared" si="95"/>
        <v>25625</v>
      </c>
      <c r="O166" s="34"/>
      <c r="P166" s="34"/>
      <c r="S166" s="8" t="s">
        <v>21</v>
      </c>
      <c r="T166" s="9">
        <f>P123</f>
        <v>123000</v>
      </c>
      <c r="V166" s="5" t="s">
        <v>22</v>
      </c>
      <c r="W166" s="5">
        <f>SUM(W167:W169)</f>
        <v>-1026516.1302399997</v>
      </c>
      <c r="X166" s="5">
        <f>SUM(X167:X169)</f>
        <v>0</v>
      </c>
      <c r="Y166" s="5">
        <f>SUM(Y167:Y169)</f>
        <v>-1026516.1302399997</v>
      </c>
      <c r="Z166" s="5" t="s">
        <v>23</v>
      </c>
      <c r="AA166" s="11">
        <f>SUM(AA167:AA170)</f>
        <v>9565.7001600000003</v>
      </c>
      <c r="AB166" s="96"/>
      <c r="AC166" s="62"/>
      <c r="AD166" s="62"/>
      <c r="AE166" s="62"/>
      <c r="AF166" s="62"/>
      <c r="AG166" s="62"/>
      <c r="AH166" s="62"/>
      <c r="AI166" s="62"/>
      <c r="AJ166" s="62"/>
      <c r="AK166" s="62"/>
      <c r="AL166" s="62"/>
      <c r="AM166" s="62"/>
    </row>
    <row r="167" spans="2:39" ht="30" x14ac:dyDescent="0.25">
      <c r="B167" s="35" t="s">
        <v>21</v>
      </c>
      <c r="C167" s="35">
        <f>C124</f>
        <v>0</v>
      </c>
      <c r="D167" s="35">
        <f t="shared" ref="D167:N167" si="96">D124</f>
        <v>10250</v>
      </c>
      <c r="E167" s="35">
        <f t="shared" si="96"/>
        <v>10250</v>
      </c>
      <c r="F167" s="35">
        <f t="shared" si="96"/>
        <v>10250</v>
      </c>
      <c r="G167" s="35">
        <f t="shared" si="96"/>
        <v>10250</v>
      </c>
      <c r="H167" s="35">
        <f t="shared" si="96"/>
        <v>10250</v>
      </c>
      <c r="I167" s="35">
        <f t="shared" si="96"/>
        <v>10250</v>
      </c>
      <c r="J167" s="35">
        <f t="shared" si="96"/>
        <v>10250</v>
      </c>
      <c r="K167" s="35">
        <f t="shared" si="96"/>
        <v>10250</v>
      </c>
      <c r="L167" s="35">
        <f t="shared" si="96"/>
        <v>10250</v>
      </c>
      <c r="M167" s="35">
        <f t="shared" si="96"/>
        <v>10250</v>
      </c>
      <c r="N167" s="35">
        <f t="shared" si="96"/>
        <v>10250</v>
      </c>
      <c r="O167" s="34"/>
      <c r="P167" s="34"/>
      <c r="S167" s="8" t="s">
        <v>75</v>
      </c>
      <c r="T167" s="9">
        <f>P120</f>
        <v>10714.285714285714</v>
      </c>
      <c r="V167" s="6" t="s">
        <v>25</v>
      </c>
      <c r="W167" s="6">
        <v>15000</v>
      </c>
      <c r="X167" s="6"/>
      <c r="Y167" s="6">
        <f>W167-X167</f>
        <v>15000</v>
      </c>
      <c r="Z167" s="6" t="s">
        <v>26</v>
      </c>
      <c r="AA167" s="3">
        <v>0</v>
      </c>
      <c r="AB167" s="96"/>
      <c r="AC167" s="62"/>
      <c r="AD167" s="62"/>
      <c r="AE167" s="62"/>
      <c r="AF167" s="62"/>
      <c r="AG167" s="62"/>
      <c r="AH167" s="62"/>
      <c r="AI167" s="62"/>
      <c r="AJ167" s="62"/>
      <c r="AK167" s="62"/>
      <c r="AL167" s="62"/>
      <c r="AM167" s="62"/>
    </row>
    <row r="168" spans="2:39" x14ac:dyDescent="0.25">
      <c r="B168" s="34" t="s">
        <v>102</v>
      </c>
      <c r="C168" s="34">
        <f t="shared" ref="C168:N168" si="97">C131</f>
        <v>0</v>
      </c>
      <c r="D168" s="34">
        <f t="shared" si="97"/>
        <v>0</v>
      </c>
      <c r="E168" s="34">
        <f t="shared" si="97"/>
        <v>0</v>
      </c>
      <c r="F168" s="34">
        <f t="shared" si="97"/>
        <v>0</v>
      </c>
      <c r="G168" s="34">
        <f t="shared" si="97"/>
        <v>0</v>
      </c>
      <c r="H168" s="34">
        <f t="shared" si="97"/>
        <v>0</v>
      </c>
      <c r="I168" s="34">
        <f t="shared" si="97"/>
        <v>0</v>
      </c>
      <c r="J168" s="34">
        <f t="shared" si="97"/>
        <v>0</v>
      </c>
      <c r="K168" s="34">
        <f t="shared" si="97"/>
        <v>0</v>
      </c>
      <c r="L168" s="34">
        <f t="shared" si="97"/>
        <v>8200</v>
      </c>
      <c r="M168" s="34">
        <f t="shared" si="97"/>
        <v>0</v>
      </c>
      <c r="N168" s="34">
        <f t="shared" si="97"/>
        <v>0</v>
      </c>
      <c r="O168" s="34"/>
      <c r="P168" s="34"/>
      <c r="S168" s="33" t="s">
        <v>76</v>
      </c>
      <c r="T168" s="49">
        <f>SUM(T162:T167)</f>
        <v>555386.99611428566</v>
      </c>
      <c r="V168" s="6" t="s">
        <v>28</v>
      </c>
      <c r="W168" s="6">
        <f>P98</f>
        <v>6491.4720000000007</v>
      </c>
      <c r="X168" s="6"/>
      <c r="Y168" s="6">
        <f>W168-X168</f>
        <v>6491.4720000000007</v>
      </c>
      <c r="Z168" s="6" t="s">
        <v>29</v>
      </c>
      <c r="AA168" s="3">
        <v>0</v>
      </c>
      <c r="AB168" s="95"/>
      <c r="AC168" s="93"/>
      <c r="AD168" s="93"/>
      <c r="AE168" s="93"/>
      <c r="AF168" s="93"/>
      <c r="AG168" s="93"/>
      <c r="AH168" s="93"/>
      <c r="AI168" s="93"/>
      <c r="AJ168" s="93"/>
      <c r="AK168" s="93"/>
      <c r="AL168" s="93"/>
      <c r="AM168" s="93"/>
    </row>
    <row r="169" spans="2:39" x14ac:dyDescent="0.25">
      <c r="B169" s="34" t="s">
        <v>127</v>
      </c>
      <c r="C169" s="34">
        <f>C116</f>
        <v>8520</v>
      </c>
      <c r="D169" s="34">
        <f t="shared" ref="D169:N169" si="98">D116</f>
        <v>8520</v>
      </c>
      <c r="E169" s="34">
        <f t="shared" si="98"/>
        <v>8520</v>
      </c>
      <c r="F169" s="34">
        <f t="shared" si="98"/>
        <v>8520</v>
      </c>
      <c r="G169" s="34">
        <f t="shared" si="98"/>
        <v>8520</v>
      </c>
      <c r="H169" s="34">
        <f t="shared" si="98"/>
        <v>8520</v>
      </c>
      <c r="I169" s="34">
        <f t="shared" si="98"/>
        <v>8520</v>
      </c>
      <c r="J169" s="34">
        <f t="shared" si="98"/>
        <v>8520</v>
      </c>
      <c r="K169" s="34">
        <f t="shared" si="98"/>
        <v>8520</v>
      </c>
      <c r="L169" s="34">
        <f t="shared" si="98"/>
        <v>8520</v>
      </c>
      <c r="M169" s="34">
        <f t="shared" si="98"/>
        <v>8520</v>
      </c>
      <c r="N169" s="34">
        <f t="shared" si="98"/>
        <v>8520</v>
      </c>
      <c r="O169" s="34"/>
      <c r="P169" s="34"/>
      <c r="S169" s="10" t="s">
        <v>30</v>
      </c>
      <c r="T169" s="16">
        <f>T161-T168</f>
        <v>-490472.27611428569</v>
      </c>
      <c r="V169" s="6" t="s">
        <v>34</v>
      </c>
      <c r="W169" s="6">
        <f>N176</f>
        <v>-1048007.6022399997</v>
      </c>
      <c r="X169" s="6"/>
      <c r="Y169" s="6">
        <f>W169-X169</f>
        <v>-1048007.6022399997</v>
      </c>
      <c r="Z169" s="6" t="s">
        <v>32</v>
      </c>
      <c r="AA169" s="3">
        <f>P155+P124</f>
        <v>9565.7001600000003</v>
      </c>
      <c r="AB169" s="96"/>
      <c r="AC169" s="62"/>
      <c r="AD169" s="62"/>
      <c r="AE169" s="62"/>
      <c r="AF169" s="62"/>
      <c r="AG169" s="62"/>
      <c r="AH169" s="62"/>
      <c r="AI169" s="62"/>
      <c r="AJ169" s="62"/>
      <c r="AK169" s="62"/>
      <c r="AL169" s="62"/>
      <c r="AM169" s="62"/>
    </row>
    <row r="170" spans="2:39" x14ac:dyDescent="0.25">
      <c r="B170" s="59" t="s">
        <v>128</v>
      </c>
      <c r="C170" s="59">
        <f t="shared" ref="C170:N170" si="99">C134</f>
        <v>5350</v>
      </c>
      <c r="D170" s="59">
        <f t="shared" si="99"/>
        <v>5350</v>
      </c>
      <c r="E170" s="59">
        <f t="shared" si="99"/>
        <v>5350</v>
      </c>
      <c r="F170" s="59">
        <f t="shared" si="99"/>
        <v>5350</v>
      </c>
      <c r="G170" s="59">
        <f t="shared" si="99"/>
        <v>5350</v>
      </c>
      <c r="H170" s="59">
        <f t="shared" si="99"/>
        <v>5350</v>
      </c>
      <c r="I170" s="59">
        <f t="shared" si="99"/>
        <v>5350</v>
      </c>
      <c r="J170" s="59">
        <f t="shared" si="99"/>
        <v>5350</v>
      </c>
      <c r="K170" s="59">
        <f t="shared" si="99"/>
        <v>5350</v>
      </c>
      <c r="L170" s="59">
        <f t="shared" si="99"/>
        <v>5350</v>
      </c>
      <c r="M170" s="59">
        <f t="shared" si="99"/>
        <v>5350</v>
      </c>
      <c r="N170" s="59">
        <f t="shared" si="99"/>
        <v>5350</v>
      </c>
      <c r="O170" s="34"/>
      <c r="P170" s="34"/>
      <c r="S170" s="33" t="s">
        <v>33</v>
      </c>
      <c r="T170" s="49">
        <v>0</v>
      </c>
      <c r="V170" s="6"/>
      <c r="W170" s="6"/>
      <c r="X170" s="6"/>
      <c r="Y170" s="6"/>
      <c r="Z170" s="6"/>
      <c r="AA170" s="3"/>
      <c r="AB170" s="96"/>
      <c r="AC170" s="62"/>
      <c r="AD170" s="62"/>
      <c r="AE170" s="62"/>
      <c r="AF170" s="62"/>
      <c r="AG170" s="62"/>
      <c r="AH170" s="62"/>
      <c r="AI170" s="62"/>
      <c r="AJ170" s="62"/>
      <c r="AK170" s="62"/>
      <c r="AL170" s="62"/>
      <c r="AM170" s="62"/>
    </row>
    <row r="171" spans="2:39" x14ac:dyDescent="0.25">
      <c r="B171" s="38" t="s">
        <v>129</v>
      </c>
      <c r="C171" s="40">
        <f>C142</f>
        <v>0</v>
      </c>
      <c r="D171" s="40">
        <f t="shared" ref="D171:N171" si="100">D142</f>
        <v>0</v>
      </c>
      <c r="E171" s="40">
        <f t="shared" si="100"/>
        <v>0</v>
      </c>
      <c r="F171" s="40">
        <f t="shared" si="100"/>
        <v>0</v>
      </c>
      <c r="G171" s="40">
        <f t="shared" si="100"/>
        <v>0</v>
      </c>
      <c r="H171" s="40">
        <f>H142</f>
        <v>0</v>
      </c>
      <c r="I171" s="40">
        <f t="shared" si="100"/>
        <v>0</v>
      </c>
      <c r="J171" s="40">
        <f t="shared" si="100"/>
        <v>0</v>
      </c>
      <c r="K171" s="40">
        <f t="shared" si="100"/>
        <v>0</v>
      </c>
      <c r="L171" s="40">
        <f t="shared" si="100"/>
        <v>0</v>
      </c>
      <c r="M171" s="40">
        <f t="shared" si="100"/>
        <v>0</v>
      </c>
      <c r="N171" s="40">
        <f t="shared" si="100"/>
        <v>0</v>
      </c>
      <c r="O171" s="34"/>
      <c r="P171" s="34"/>
      <c r="S171" s="8" t="s">
        <v>36</v>
      </c>
      <c r="T171" s="9">
        <f>P132</f>
        <v>2100</v>
      </c>
      <c r="V171" s="56" t="s">
        <v>38</v>
      </c>
      <c r="W171" s="56">
        <f>W160+W166</f>
        <v>-773016.13023999974</v>
      </c>
      <c r="X171" s="56">
        <f>X160</f>
        <v>61520.238095238106</v>
      </c>
      <c r="Y171" s="56">
        <f>W171-X171</f>
        <v>-834536.36833523784</v>
      </c>
      <c r="Z171" s="56" t="s">
        <v>39</v>
      </c>
      <c r="AA171" s="57">
        <f>AA160+AA166</f>
        <v>-846317.26166857139</v>
      </c>
      <c r="AB171" s="96"/>
      <c r="AC171" s="62"/>
      <c r="AD171" s="62"/>
      <c r="AE171" s="62"/>
      <c r="AF171" s="62"/>
      <c r="AG171" s="62"/>
      <c r="AH171" s="62"/>
      <c r="AI171" s="62"/>
      <c r="AJ171" s="62"/>
      <c r="AK171" s="62"/>
      <c r="AL171" s="62"/>
      <c r="AM171" s="62"/>
    </row>
    <row r="172" spans="2:39" x14ac:dyDescent="0.25">
      <c r="B172" s="38" t="s">
        <v>130</v>
      </c>
      <c r="C172" s="40">
        <f t="shared" ref="C172:N172" si="101">C155</f>
        <v>0</v>
      </c>
      <c r="D172" s="40">
        <f t="shared" si="101"/>
        <v>-684.2998399999999</v>
      </c>
      <c r="E172" s="40">
        <f t="shared" si="101"/>
        <v>-684.2998399999999</v>
      </c>
      <c r="F172" s="40">
        <f t="shared" si="101"/>
        <v>-684.2998399999999</v>
      </c>
      <c r="G172" s="40">
        <f t="shared" si="101"/>
        <v>-684.2998399999999</v>
      </c>
      <c r="H172" s="40">
        <f t="shared" si="101"/>
        <v>-684.2998399999999</v>
      </c>
      <c r="I172" s="40">
        <f t="shared" si="101"/>
        <v>-684.2998399999999</v>
      </c>
      <c r="J172" s="40">
        <f t="shared" si="101"/>
        <v>-684.2998399999999</v>
      </c>
      <c r="K172" s="40">
        <f t="shared" si="101"/>
        <v>-684.2998399999999</v>
      </c>
      <c r="L172" s="40">
        <f t="shared" si="101"/>
        <v>-684.2998399999999</v>
      </c>
      <c r="M172" s="40">
        <f t="shared" si="101"/>
        <v>-684.2998399999999</v>
      </c>
      <c r="N172" s="40">
        <f t="shared" si="101"/>
        <v>-684.2998399999999</v>
      </c>
      <c r="O172" s="34"/>
      <c r="P172" s="34"/>
      <c r="S172" s="33" t="s">
        <v>37</v>
      </c>
      <c r="T172" s="49">
        <f>T171</f>
        <v>2100</v>
      </c>
      <c r="V172" s="62"/>
      <c r="W172" s="62"/>
      <c r="X172" s="62"/>
      <c r="Y172" s="62"/>
      <c r="Z172" s="111" t="s">
        <v>42</v>
      </c>
      <c r="AA172" s="14">
        <f>Y171-AA171</f>
        <v>11780.893333333544</v>
      </c>
    </row>
    <row r="173" spans="2:39" x14ac:dyDescent="0.25">
      <c r="B173" s="59" t="s">
        <v>131</v>
      </c>
      <c r="C173" s="59">
        <f>SUM(C164:C172)</f>
        <v>41572.27104</v>
      </c>
      <c r="D173" s="59">
        <f t="shared" ref="D173:N173" si="102">SUM(D164:D172)</f>
        <v>51137.9712</v>
      </c>
      <c r="E173" s="59">
        <f t="shared" si="102"/>
        <v>51137.9712</v>
      </c>
      <c r="F173" s="59">
        <f t="shared" si="102"/>
        <v>51137.9712</v>
      </c>
      <c r="G173" s="59">
        <f t="shared" si="102"/>
        <v>51137.9712</v>
      </c>
      <c r="H173" s="59">
        <f t="shared" si="102"/>
        <v>51137.9712</v>
      </c>
      <c r="I173" s="59">
        <f t="shared" si="102"/>
        <v>51137.9712</v>
      </c>
      <c r="J173" s="59">
        <f t="shared" si="102"/>
        <v>51137.9712</v>
      </c>
      <c r="K173" s="59">
        <f t="shared" si="102"/>
        <v>51137.9712</v>
      </c>
      <c r="L173" s="59">
        <f t="shared" si="102"/>
        <v>59337.9712</v>
      </c>
      <c r="M173" s="59">
        <f t="shared" si="102"/>
        <v>51137.9712</v>
      </c>
      <c r="N173" s="59">
        <f t="shared" si="102"/>
        <v>51137.9712</v>
      </c>
      <c r="O173" s="34"/>
      <c r="P173" s="34"/>
      <c r="S173" s="10" t="s">
        <v>40</v>
      </c>
      <c r="T173" s="16">
        <f>T170-T172</f>
        <v>-2100</v>
      </c>
    </row>
    <row r="174" spans="2:39" x14ac:dyDescent="0.25">
      <c r="B174" s="59" t="s">
        <v>132</v>
      </c>
      <c r="C174" s="59">
        <f>N85</f>
        <v>-513488.64000000007</v>
      </c>
      <c r="D174" s="59">
        <f>C176</f>
        <v>-548696.11104000011</v>
      </c>
      <c r="E174" s="59">
        <f t="shared" ref="E174:N174" si="103">D176</f>
        <v>-593342.61024000007</v>
      </c>
      <c r="F174" s="59">
        <f t="shared" si="103"/>
        <v>-637989.10944000003</v>
      </c>
      <c r="G174" s="59">
        <f t="shared" si="103"/>
        <v>-682635.60863999999</v>
      </c>
      <c r="H174" s="59">
        <f t="shared" si="103"/>
        <v>-727282.10783999995</v>
      </c>
      <c r="I174" s="59">
        <f t="shared" si="103"/>
        <v>-771928.60703999992</v>
      </c>
      <c r="J174" s="59">
        <f t="shared" si="103"/>
        <v>-816575.10623999988</v>
      </c>
      <c r="K174" s="59">
        <f t="shared" si="103"/>
        <v>-861221.60543999984</v>
      </c>
      <c r="L174" s="59">
        <f t="shared" si="103"/>
        <v>-905868.1046399998</v>
      </c>
      <c r="M174" s="59">
        <f t="shared" si="103"/>
        <v>-958714.60383999976</v>
      </c>
      <c r="N174" s="59">
        <f t="shared" si="103"/>
        <v>-1003361.1030399997</v>
      </c>
      <c r="O174" s="34"/>
      <c r="P174" s="34"/>
      <c r="S174" s="10" t="s">
        <v>43</v>
      </c>
      <c r="T174" s="16">
        <f>T169-(-T173)</f>
        <v>-492572.27611428569</v>
      </c>
    </row>
    <row r="175" spans="2:39" x14ac:dyDescent="0.25">
      <c r="B175" s="34" t="s">
        <v>133</v>
      </c>
      <c r="C175" s="34">
        <f t="shared" ref="C175:N175" si="104">C163-C173</f>
        <v>-35207.471039999997</v>
      </c>
      <c r="D175" s="34">
        <f t="shared" si="104"/>
        <v>-44646.499199999998</v>
      </c>
      <c r="E175" s="34">
        <f t="shared" si="104"/>
        <v>-44646.499199999998</v>
      </c>
      <c r="F175" s="34">
        <f t="shared" si="104"/>
        <v>-44646.499199999998</v>
      </c>
      <c r="G175" s="34">
        <f t="shared" si="104"/>
        <v>-44646.499199999998</v>
      </c>
      <c r="H175" s="34">
        <f t="shared" si="104"/>
        <v>-44646.499199999998</v>
      </c>
      <c r="I175" s="34">
        <f t="shared" si="104"/>
        <v>-44646.499199999998</v>
      </c>
      <c r="J175" s="34">
        <f t="shared" si="104"/>
        <v>-44646.499199999998</v>
      </c>
      <c r="K175" s="34">
        <f t="shared" si="104"/>
        <v>-44646.499199999998</v>
      </c>
      <c r="L175" s="34">
        <f t="shared" si="104"/>
        <v>-52846.499199999998</v>
      </c>
      <c r="M175" s="34">
        <f t="shared" si="104"/>
        <v>-44646.499199999998</v>
      </c>
      <c r="N175" s="34">
        <f t="shared" si="104"/>
        <v>-44646.499199999998</v>
      </c>
      <c r="O175" s="34"/>
      <c r="P175" s="34"/>
      <c r="S175" s="10" t="s">
        <v>216</v>
      </c>
      <c r="T175" s="9"/>
    </row>
    <row r="176" spans="2:39" x14ac:dyDescent="0.25">
      <c r="B176" s="59" t="s">
        <v>134</v>
      </c>
      <c r="C176" s="59">
        <f>C174+C175</f>
        <v>-548696.11104000011</v>
      </c>
      <c r="D176" s="59">
        <f t="shared" ref="D176:N176" si="105">D174+D175</f>
        <v>-593342.61024000007</v>
      </c>
      <c r="E176" s="59">
        <f t="shared" si="105"/>
        <v>-637989.10944000003</v>
      </c>
      <c r="F176" s="59">
        <f t="shared" si="105"/>
        <v>-682635.60863999999</v>
      </c>
      <c r="G176" s="59">
        <f t="shared" si="105"/>
        <v>-727282.10783999995</v>
      </c>
      <c r="H176" s="59">
        <f t="shared" si="105"/>
        <v>-771928.60703999992</v>
      </c>
      <c r="I176" s="59">
        <f t="shared" si="105"/>
        <v>-816575.10623999988</v>
      </c>
      <c r="J176" s="59">
        <f t="shared" si="105"/>
        <v>-861221.60543999984</v>
      </c>
      <c r="K176" s="59">
        <f t="shared" si="105"/>
        <v>-905868.1046399998</v>
      </c>
      <c r="L176" s="59">
        <f t="shared" si="105"/>
        <v>-958714.60383999976</v>
      </c>
      <c r="M176" s="59">
        <f t="shared" si="105"/>
        <v>-1003361.1030399997</v>
      </c>
      <c r="N176" s="59">
        <f t="shared" si="105"/>
        <v>-1048007.6022399997</v>
      </c>
      <c r="O176" s="60" t="s">
        <v>164</v>
      </c>
      <c r="P176" s="61">
        <f>N176</f>
        <v>-1048007.6022399997</v>
      </c>
      <c r="S176" s="50" t="s">
        <v>47</v>
      </c>
      <c r="T176" s="51">
        <f>T174</f>
        <v>-492572.27611428569</v>
      </c>
    </row>
    <row r="179" spans="2:16" ht="21" x14ac:dyDescent="0.35">
      <c r="B179" s="282" t="s">
        <v>152</v>
      </c>
      <c r="C179" s="282"/>
      <c r="D179" s="282"/>
      <c r="E179" s="282"/>
      <c r="F179" s="282"/>
      <c r="G179" s="282"/>
      <c r="H179" s="282"/>
      <c r="I179" s="282"/>
      <c r="J179" s="282"/>
      <c r="K179" s="282"/>
      <c r="L179" s="282"/>
      <c r="M179" s="282"/>
      <c r="N179" s="282"/>
      <c r="O179" s="282"/>
      <c r="P179" s="282"/>
    </row>
    <row r="182" spans="2:16" x14ac:dyDescent="0.25">
      <c r="B182" s="267" t="s">
        <v>153</v>
      </c>
      <c r="C182" s="267"/>
      <c r="D182" s="267"/>
      <c r="E182" s="267"/>
      <c r="F182" s="267"/>
      <c r="G182" s="267"/>
      <c r="H182" s="267"/>
      <c r="I182" s="267"/>
      <c r="J182" s="267"/>
      <c r="K182" s="267"/>
      <c r="L182" s="267"/>
      <c r="M182" s="267"/>
      <c r="N182" s="267"/>
      <c r="O182" s="267"/>
      <c r="P182" s="267"/>
    </row>
    <row r="183" spans="2:16" x14ac:dyDescent="0.25">
      <c r="B183" s="213"/>
      <c r="C183" s="215" t="s">
        <v>50</v>
      </c>
      <c r="D183" s="215" t="s">
        <v>51</v>
      </c>
      <c r="E183" s="215" t="s">
        <v>52</v>
      </c>
      <c r="F183" s="215" t="s">
        <v>53</v>
      </c>
      <c r="G183" s="215" t="s">
        <v>54</v>
      </c>
      <c r="H183" s="215" t="s">
        <v>55</v>
      </c>
      <c r="I183" s="215" t="s">
        <v>56</v>
      </c>
      <c r="J183" s="215" t="s">
        <v>57</v>
      </c>
      <c r="K183" s="215" t="s">
        <v>58</v>
      </c>
      <c r="L183" s="215" t="s">
        <v>59</v>
      </c>
      <c r="M183" s="215" t="s">
        <v>60</v>
      </c>
      <c r="N183" s="215" t="s">
        <v>61</v>
      </c>
      <c r="O183" s="220" t="s">
        <v>62</v>
      </c>
      <c r="P183" s="221"/>
    </row>
    <row r="184" spans="2:16" x14ac:dyDescent="0.25">
      <c r="B184" s="214"/>
      <c r="C184" s="216"/>
      <c r="D184" s="216"/>
      <c r="E184" s="216"/>
      <c r="F184" s="216"/>
      <c r="G184" s="216"/>
      <c r="H184" s="216"/>
      <c r="I184" s="216"/>
      <c r="J184" s="216"/>
      <c r="K184" s="216"/>
      <c r="L184" s="216"/>
      <c r="M184" s="216"/>
      <c r="N184" s="216"/>
      <c r="O184" s="58" t="s">
        <v>64</v>
      </c>
      <c r="P184" s="58" t="s">
        <v>65</v>
      </c>
    </row>
    <row r="185" spans="2:16" x14ac:dyDescent="0.25">
      <c r="B185" s="35" t="s">
        <v>66</v>
      </c>
      <c r="C185" s="35">
        <f>'Bilan et CDR N+2'!$C$4*1.04/12</f>
        <v>5625.9423999999999</v>
      </c>
      <c r="D185" s="35">
        <f>'Bilan et CDR N+2'!$C$4*1.04/12</f>
        <v>5625.9423999999999</v>
      </c>
      <c r="E185" s="35">
        <f>'Bilan et CDR N+2'!$C$4*1.04/12</f>
        <v>5625.9423999999999</v>
      </c>
      <c r="F185" s="35">
        <f>'Bilan et CDR N+2'!$C$4*1.04/12</f>
        <v>5625.9423999999999</v>
      </c>
      <c r="G185" s="35">
        <f>'Bilan et CDR N+2'!$C$4*1.04/12</f>
        <v>5625.9423999999999</v>
      </c>
      <c r="H185" s="35">
        <f>'Bilan et CDR N+2'!$C$4*1.04/12</f>
        <v>5625.9423999999999</v>
      </c>
      <c r="I185" s="35">
        <f>'Bilan et CDR N+2'!$C$4*1.04/12</f>
        <v>5625.9423999999999</v>
      </c>
      <c r="J185" s="35">
        <f>'Bilan et CDR N+2'!$C$4*1.04/12</f>
        <v>5625.9423999999999</v>
      </c>
      <c r="K185" s="35">
        <f>'Bilan et CDR N+2'!$C$4*1.04/12</f>
        <v>5625.9423999999999</v>
      </c>
      <c r="L185" s="35">
        <f>'Bilan et CDR N+2'!$C$4*1.04/12</f>
        <v>5625.9423999999999</v>
      </c>
      <c r="M185" s="35">
        <f>'Bilan et CDR N+2'!$C$4*1.04/12</f>
        <v>5625.9423999999999</v>
      </c>
      <c r="N185" s="35">
        <f>'Bilan et CDR N+2'!$C$4*1.04/12</f>
        <v>5625.9423999999999</v>
      </c>
      <c r="O185" s="60" t="s">
        <v>1</v>
      </c>
      <c r="P185" s="61">
        <f>SUM(C185:N185)</f>
        <v>67511.308799999999</v>
      </c>
    </row>
    <row r="186" spans="2:16" x14ac:dyDescent="0.25">
      <c r="B186" s="34" t="s">
        <v>68</v>
      </c>
      <c r="C186" s="34">
        <f t="shared" ref="C186:N186" si="106">C185*20%</f>
        <v>1125.18848</v>
      </c>
      <c r="D186" s="34">
        <f t="shared" si="106"/>
        <v>1125.18848</v>
      </c>
      <c r="E186" s="34">
        <f t="shared" si="106"/>
        <v>1125.18848</v>
      </c>
      <c r="F186" s="34">
        <f t="shared" si="106"/>
        <v>1125.18848</v>
      </c>
      <c r="G186" s="34">
        <f t="shared" si="106"/>
        <v>1125.18848</v>
      </c>
      <c r="H186" s="34">
        <f t="shared" si="106"/>
        <v>1125.18848</v>
      </c>
      <c r="I186" s="34">
        <f t="shared" si="106"/>
        <v>1125.18848</v>
      </c>
      <c r="J186" s="34">
        <f t="shared" si="106"/>
        <v>1125.18848</v>
      </c>
      <c r="K186" s="34">
        <f t="shared" si="106"/>
        <v>1125.18848</v>
      </c>
      <c r="L186" s="34">
        <f t="shared" si="106"/>
        <v>1125.18848</v>
      </c>
      <c r="M186" s="34">
        <f t="shared" si="106"/>
        <v>1125.18848</v>
      </c>
      <c r="N186" s="34">
        <f t="shared" si="106"/>
        <v>1125.18848</v>
      </c>
      <c r="O186" s="34"/>
      <c r="P186" s="34"/>
    </row>
    <row r="187" spans="2:16" x14ac:dyDescent="0.25">
      <c r="B187" s="34" t="s">
        <v>69</v>
      </c>
      <c r="C187" s="34">
        <f t="shared" ref="C187:N187" si="107">C185+C186</f>
        <v>6751.1308799999997</v>
      </c>
      <c r="D187" s="34">
        <f t="shared" si="107"/>
        <v>6751.1308799999997</v>
      </c>
      <c r="E187" s="34">
        <f t="shared" si="107"/>
        <v>6751.1308799999997</v>
      </c>
      <c r="F187" s="34">
        <f t="shared" si="107"/>
        <v>6751.1308799999997</v>
      </c>
      <c r="G187" s="34">
        <f t="shared" si="107"/>
        <v>6751.1308799999997</v>
      </c>
      <c r="H187" s="34">
        <f t="shared" si="107"/>
        <v>6751.1308799999997</v>
      </c>
      <c r="I187" s="34">
        <f t="shared" si="107"/>
        <v>6751.1308799999997</v>
      </c>
      <c r="J187" s="34">
        <f t="shared" si="107"/>
        <v>6751.1308799999997</v>
      </c>
      <c r="K187" s="34">
        <f t="shared" si="107"/>
        <v>6751.1308799999997</v>
      </c>
      <c r="L187" s="34">
        <f t="shared" si="107"/>
        <v>6751.1308799999997</v>
      </c>
      <c r="M187" s="34">
        <f t="shared" si="107"/>
        <v>6751.1308799999997</v>
      </c>
      <c r="N187" s="34">
        <f t="shared" si="107"/>
        <v>6751.1308799999997</v>
      </c>
      <c r="O187" s="34"/>
      <c r="P187" s="34"/>
    </row>
    <row r="188" spans="2:16" x14ac:dyDescent="0.25">
      <c r="B188" s="59" t="s">
        <v>139</v>
      </c>
      <c r="C188" s="59">
        <f>'Bilan et CDR N+2'!I13</f>
        <v>6491.4720000000007</v>
      </c>
      <c r="D188" s="59">
        <f t="shared" ref="D188:N188" si="108">C187</f>
        <v>6751.1308799999997</v>
      </c>
      <c r="E188" s="59">
        <f t="shared" si="108"/>
        <v>6751.1308799999997</v>
      </c>
      <c r="F188" s="59">
        <f t="shared" si="108"/>
        <v>6751.1308799999997</v>
      </c>
      <c r="G188" s="59">
        <f t="shared" si="108"/>
        <v>6751.1308799999997</v>
      </c>
      <c r="H188" s="59">
        <f t="shared" si="108"/>
        <v>6751.1308799999997</v>
      </c>
      <c r="I188" s="59">
        <f t="shared" si="108"/>
        <v>6751.1308799999997</v>
      </c>
      <c r="J188" s="59">
        <f t="shared" si="108"/>
        <v>6751.1308799999997</v>
      </c>
      <c r="K188" s="59">
        <f t="shared" si="108"/>
        <v>6751.1308799999997</v>
      </c>
      <c r="L188" s="59">
        <f t="shared" si="108"/>
        <v>6751.1308799999997</v>
      </c>
      <c r="M188" s="59">
        <f t="shared" si="108"/>
        <v>6751.1308799999997</v>
      </c>
      <c r="N188" s="59">
        <f t="shared" si="108"/>
        <v>6751.1308799999997</v>
      </c>
      <c r="O188" s="60" t="s">
        <v>72</v>
      </c>
      <c r="P188" s="61">
        <f>N187</f>
        <v>6751.1308799999997</v>
      </c>
    </row>
    <row r="189" spans="2:16" x14ac:dyDescent="0.25">
      <c r="B189" s="20"/>
      <c r="C189" s="20"/>
      <c r="D189" s="20"/>
      <c r="E189" s="20"/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P189" s="20"/>
    </row>
    <row r="190" spans="2:16" x14ac:dyDescent="0.25">
      <c r="B190" s="20"/>
      <c r="C190" s="20"/>
      <c r="D190" s="20"/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  <c r="P190" s="20"/>
    </row>
    <row r="191" spans="2:16" x14ac:dyDescent="0.25">
      <c r="B191" s="271" t="s">
        <v>155</v>
      </c>
      <c r="C191" s="271"/>
      <c r="D191" s="271"/>
      <c r="E191" s="271"/>
      <c r="F191" s="271"/>
      <c r="G191" s="271"/>
      <c r="H191" s="271"/>
      <c r="I191" s="271"/>
      <c r="J191" s="271"/>
      <c r="K191" s="271"/>
      <c r="L191" s="271"/>
      <c r="M191" s="271"/>
      <c r="N191" s="271"/>
      <c r="O191" s="271"/>
      <c r="P191" s="271"/>
    </row>
    <row r="192" spans="2:16" x14ac:dyDescent="0.25">
      <c r="B192" s="213"/>
      <c r="C192" s="215" t="s">
        <v>50</v>
      </c>
      <c r="D192" s="215" t="s">
        <v>51</v>
      </c>
      <c r="E192" s="215" t="s">
        <v>52</v>
      </c>
      <c r="F192" s="215" t="s">
        <v>53</v>
      </c>
      <c r="G192" s="215" t="s">
        <v>54</v>
      </c>
      <c r="H192" s="215" t="s">
        <v>55</v>
      </c>
      <c r="I192" s="215" t="s">
        <v>56</v>
      </c>
      <c r="J192" s="215" t="s">
        <v>57</v>
      </c>
      <c r="K192" s="215" t="s">
        <v>58</v>
      </c>
      <c r="L192" s="215" t="s">
        <v>59</v>
      </c>
      <c r="M192" s="215" t="s">
        <v>60</v>
      </c>
      <c r="N192" s="215" t="s">
        <v>61</v>
      </c>
      <c r="O192" s="220" t="s">
        <v>62</v>
      </c>
      <c r="P192" s="221"/>
    </row>
    <row r="193" spans="2:16" x14ac:dyDescent="0.25">
      <c r="B193" s="214"/>
      <c r="C193" s="216"/>
      <c r="D193" s="216"/>
      <c r="E193" s="216"/>
      <c r="F193" s="216"/>
      <c r="G193" s="216"/>
      <c r="H193" s="216"/>
      <c r="I193" s="216"/>
      <c r="J193" s="216"/>
      <c r="K193" s="216"/>
      <c r="L193" s="216"/>
      <c r="M193" s="216"/>
      <c r="N193" s="216"/>
      <c r="O193" s="58" t="s">
        <v>64</v>
      </c>
      <c r="P193" s="58" t="s">
        <v>65</v>
      </c>
    </row>
    <row r="194" spans="2:16" x14ac:dyDescent="0.25">
      <c r="B194" s="35" t="s">
        <v>77</v>
      </c>
      <c r="C194" s="35">
        <f t="shared" ref="C194:N194" si="109">C185*34%</f>
        <v>1912.820416</v>
      </c>
      <c r="D194" s="35">
        <f t="shared" si="109"/>
        <v>1912.820416</v>
      </c>
      <c r="E194" s="35">
        <f t="shared" si="109"/>
        <v>1912.820416</v>
      </c>
      <c r="F194" s="35">
        <f t="shared" si="109"/>
        <v>1912.820416</v>
      </c>
      <c r="G194" s="35">
        <f t="shared" si="109"/>
        <v>1912.820416</v>
      </c>
      <c r="H194" s="35">
        <f t="shared" si="109"/>
        <v>1912.820416</v>
      </c>
      <c r="I194" s="35">
        <f t="shared" si="109"/>
        <v>1912.820416</v>
      </c>
      <c r="J194" s="35">
        <f t="shared" si="109"/>
        <v>1912.820416</v>
      </c>
      <c r="K194" s="35">
        <f t="shared" si="109"/>
        <v>1912.820416</v>
      </c>
      <c r="L194" s="35">
        <f t="shared" si="109"/>
        <v>1912.820416</v>
      </c>
      <c r="M194" s="35">
        <f t="shared" si="109"/>
        <v>1912.820416</v>
      </c>
      <c r="N194" s="35">
        <f t="shared" si="109"/>
        <v>1912.820416</v>
      </c>
      <c r="O194" s="60" t="s">
        <v>78</v>
      </c>
      <c r="P194" s="61">
        <f>SUM(C194:N194)</f>
        <v>22953.844991999998</v>
      </c>
    </row>
    <row r="195" spans="2:16" x14ac:dyDescent="0.25">
      <c r="B195" s="34" t="s">
        <v>79</v>
      </c>
      <c r="C195" s="34">
        <f t="shared" ref="C195:N195" si="110">C194*20%</f>
        <v>382.56408320000003</v>
      </c>
      <c r="D195" s="34">
        <f t="shared" si="110"/>
        <v>382.56408320000003</v>
      </c>
      <c r="E195" s="34">
        <f t="shared" si="110"/>
        <v>382.56408320000003</v>
      </c>
      <c r="F195" s="34">
        <f t="shared" si="110"/>
        <v>382.56408320000003</v>
      </c>
      <c r="G195" s="34">
        <f t="shared" si="110"/>
        <v>382.56408320000003</v>
      </c>
      <c r="H195" s="34">
        <f t="shared" si="110"/>
        <v>382.56408320000003</v>
      </c>
      <c r="I195" s="34">
        <f t="shared" si="110"/>
        <v>382.56408320000003</v>
      </c>
      <c r="J195" s="34">
        <f t="shared" si="110"/>
        <v>382.56408320000003</v>
      </c>
      <c r="K195" s="34">
        <f t="shared" si="110"/>
        <v>382.56408320000003</v>
      </c>
      <c r="L195" s="34">
        <f t="shared" si="110"/>
        <v>382.56408320000003</v>
      </c>
      <c r="M195" s="34">
        <f t="shared" si="110"/>
        <v>382.56408320000003</v>
      </c>
      <c r="N195" s="34">
        <f t="shared" si="110"/>
        <v>382.56408320000003</v>
      </c>
      <c r="O195" s="34"/>
      <c r="P195" s="34"/>
    </row>
    <row r="196" spans="2:16" x14ac:dyDescent="0.25">
      <c r="B196" s="34" t="s">
        <v>80</v>
      </c>
      <c r="C196" s="34">
        <f t="shared" ref="C196:N196" si="111">C194+C195</f>
        <v>2295.3844991999999</v>
      </c>
      <c r="D196" s="34">
        <f t="shared" si="111"/>
        <v>2295.3844991999999</v>
      </c>
      <c r="E196" s="34">
        <f t="shared" si="111"/>
        <v>2295.3844991999999</v>
      </c>
      <c r="F196" s="34">
        <f t="shared" si="111"/>
        <v>2295.3844991999999</v>
      </c>
      <c r="G196" s="34">
        <f t="shared" si="111"/>
        <v>2295.3844991999999</v>
      </c>
      <c r="H196" s="34">
        <f t="shared" si="111"/>
        <v>2295.3844991999999</v>
      </c>
      <c r="I196" s="34">
        <f t="shared" si="111"/>
        <v>2295.3844991999999</v>
      </c>
      <c r="J196" s="34">
        <f t="shared" si="111"/>
        <v>2295.3844991999999</v>
      </c>
      <c r="K196" s="34">
        <f t="shared" si="111"/>
        <v>2295.3844991999999</v>
      </c>
      <c r="L196" s="34">
        <f t="shared" si="111"/>
        <v>2295.3844991999999</v>
      </c>
      <c r="M196" s="34">
        <f t="shared" si="111"/>
        <v>2295.3844991999999</v>
      </c>
      <c r="N196" s="34">
        <f t="shared" si="111"/>
        <v>2295.3844991999999</v>
      </c>
      <c r="O196" s="34"/>
      <c r="P196" s="34"/>
    </row>
    <row r="197" spans="2:16" x14ac:dyDescent="0.25">
      <c r="B197" s="59" t="s">
        <v>81</v>
      </c>
      <c r="C197" s="59">
        <f t="shared" ref="C197:N197" si="112">C196</f>
        <v>2295.3844991999999</v>
      </c>
      <c r="D197" s="59">
        <f t="shared" si="112"/>
        <v>2295.3844991999999</v>
      </c>
      <c r="E197" s="59">
        <f t="shared" si="112"/>
        <v>2295.3844991999999</v>
      </c>
      <c r="F197" s="59">
        <f t="shared" si="112"/>
        <v>2295.3844991999999</v>
      </c>
      <c r="G197" s="59">
        <f t="shared" si="112"/>
        <v>2295.3844991999999</v>
      </c>
      <c r="H197" s="59">
        <f t="shared" si="112"/>
        <v>2295.3844991999999</v>
      </c>
      <c r="I197" s="59">
        <f t="shared" si="112"/>
        <v>2295.3844991999999</v>
      </c>
      <c r="J197" s="59">
        <f t="shared" si="112"/>
        <v>2295.3844991999999</v>
      </c>
      <c r="K197" s="59">
        <f t="shared" si="112"/>
        <v>2295.3844991999999</v>
      </c>
      <c r="L197" s="59">
        <f t="shared" si="112"/>
        <v>2295.3844991999999</v>
      </c>
      <c r="M197" s="59">
        <f t="shared" si="112"/>
        <v>2295.3844991999999</v>
      </c>
      <c r="N197" s="59">
        <f t="shared" si="112"/>
        <v>2295.3844991999999</v>
      </c>
      <c r="O197" s="60" t="s">
        <v>82</v>
      </c>
      <c r="P197" s="61">
        <v>0</v>
      </c>
    </row>
    <row r="198" spans="2:16" x14ac:dyDescent="0.25">
      <c r="B198" s="20"/>
      <c r="C198" s="20"/>
      <c r="D198" s="20"/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P198" s="20"/>
    </row>
    <row r="199" spans="2:16" x14ac:dyDescent="0.25">
      <c r="B199" s="20"/>
      <c r="C199" s="20"/>
      <c r="D199" s="20"/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  <c r="P199" s="20"/>
    </row>
    <row r="200" spans="2:16" x14ac:dyDescent="0.25">
      <c r="B200" s="271" t="s">
        <v>156</v>
      </c>
      <c r="C200" s="271"/>
      <c r="D200" s="271"/>
      <c r="E200" s="271"/>
      <c r="F200" s="271"/>
      <c r="G200" s="271"/>
      <c r="H200" s="271"/>
      <c r="I200" s="271"/>
      <c r="J200" s="271"/>
      <c r="K200" s="271"/>
      <c r="L200" s="271"/>
      <c r="M200" s="271"/>
      <c r="N200" s="271"/>
      <c r="O200" s="271"/>
      <c r="P200" s="271"/>
    </row>
    <row r="201" spans="2:16" x14ac:dyDescent="0.25">
      <c r="B201" s="213"/>
      <c r="C201" s="215" t="s">
        <v>50</v>
      </c>
      <c r="D201" s="215" t="s">
        <v>51</v>
      </c>
      <c r="E201" s="215" t="s">
        <v>52</v>
      </c>
      <c r="F201" s="215" t="s">
        <v>53</v>
      </c>
      <c r="G201" s="215" t="s">
        <v>54</v>
      </c>
      <c r="H201" s="215" t="s">
        <v>55</v>
      </c>
      <c r="I201" s="215" t="s">
        <v>56</v>
      </c>
      <c r="J201" s="215" t="s">
        <v>57</v>
      </c>
      <c r="K201" s="215" t="s">
        <v>58</v>
      </c>
      <c r="L201" s="215" t="s">
        <v>59</v>
      </c>
      <c r="M201" s="215" t="s">
        <v>60</v>
      </c>
      <c r="N201" s="215" t="s">
        <v>61</v>
      </c>
      <c r="O201" s="220" t="s">
        <v>62</v>
      </c>
      <c r="P201" s="221"/>
    </row>
    <row r="202" spans="2:16" x14ac:dyDescent="0.25">
      <c r="B202" s="231"/>
      <c r="C202" s="232"/>
      <c r="D202" s="232"/>
      <c r="E202" s="232"/>
      <c r="F202" s="232"/>
      <c r="G202" s="232"/>
      <c r="H202" s="232"/>
      <c r="I202" s="232"/>
      <c r="J202" s="232"/>
      <c r="K202" s="232"/>
      <c r="L202" s="232"/>
      <c r="M202" s="232"/>
      <c r="N202" s="232"/>
      <c r="O202" s="58" t="s">
        <v>64</v>
      </c>
      <c r="P202" s="58" t="s">
        <v>65</v>
      </c>
    </row>
    <row r="203" spans="2:16" x14ac:dyDescent="0.25">
      <c r="B203" s="21" t="s">
        <v>84</v>
      </c>
      <c r="C203" s="21">
        <v>7100</v>
      </c>
      <c r="D203" s="21">
        <v>7100</v>
      </c>
      <c r="E203" s="21">
        <v>7100</v>
      </c>
      <c r="F203" s="21">
        <v>7100</v>
      </c>
      <c r="G203" s="21">
        <v>7100</v>
      </c>
      <c r="H203" s="21">
        <v>7100</v>
      </c>
      <c r="I203" s="21">
        <v>7100</v>
      </c>
      <c r="J203" s="21">
        <v>7100</v>
      </c>
      <c r="K203" s="21">
        <v>7100</v>
      </c>
      <c r="L203" s="21">
        <v>7100</v>
      </c>
      <c r="M203" s="21">
        <v>7100</v>
      </c>
      <c r="N203" s="22">
        <v>7100</v>
      </c>
      <c r="O203" s="60" t="s">
        <v>85</v>
      </c>
      <c r="P203" s="61">
        <f>SUM(C203:N203)</f>
        <v>85200</v>
      </c>
    </row>
    <row r="204" spans="2:16" x14ac:dyDescent="0.25">
      <c r="B204" s="21" t="s">
        <v>86</v>
      </c>
      <c r="C204" s="21">
        <f t="shared" ref="C204:N204" si="113">C203*20%</f>
        <v>1420</v>
      </c>
      <c r="D204" s="21">
        <f t="shared" si="113"/>
        <v>1420</v>
      </c>
      <c r="E204" s="21">
        <f t="shared" si="113"/>
        <v>1420</v>
      </c>
      <c r="F204" s="21">
        <f t="shared" si="113"/>
        <v>1420</v>
      </c>
      <c r="G204" s="21">
        <f t="shared" si="113"/>
        <v>1420</v>
      </c>
      <c r="H204" s="21">
        <f t="shared" si="113"/>
        <v>1420</v>
      </c>
      <c r="I204" s="21">
        <f t="shared" si="113"/>
        <v>1420</v>
      </c>
      <c r="J204" s="21">
        <f t="shared" si="113"/>
        <v>1420</v>
      </c>
      <c r="K204" s="21">
        <f t="shared" si="113"/>
        <v>1420</v>
      </c>
      <c r="L204" s="21">
        <f t="shared" si="113"/>
        <v>1420</v>
      </c>
      <c r="M204" s="21">
        <f t="shared" si="113"/>
        <v>1420</v>
      </c>
      <c r="N204" s="22">
        <f t="shared" si="113"/>
        <v>1420</v>
      </c>
      <c r="O204" s="47"/>
      <c r="P204" s="48"/>
    </row>
    <row r="205" spans="2:16" x14ac:dyDescent="0.25">
      <c r="B205" s="23" t="s">
        <v>87</v>
      </c>
      <c r="C205" s="23">
        <f t="shared" ref="C205:N205" si="114">C203+C204</f>
        <v>8520</v>
      </c>
      <c r="D205" s="23">
        <f t="shared" si="114"/>
        <v>8520</v>
      </c>
      <c r="E205" s="23">
        <f t="shared" si="114"/>
        <v>8520</v>
      </c>
      <c r="F205" s="23">
        <f t="shared" si="114"/>
        <v>8520</v>
      </c>
      <c r="G205" s="23">
        <f t="shared" si="114"/>
        <v>8520</v>
      </c>
      <c r="H205" s="23">
        <f t="shared" si="114"/>
        <v>8520</v>
      </c>
      <c r="I205" s="23">
        <f t="shared" si="114"/>
        <v>8520</v>
      </c>
      <c r="J205" s="23">
        <f t="shared" si="114"/>
        <v>8520</v>
      </c>
      <c r="K205" s="23">
        <f t="shared" si="114"/>
        <v>8520</v>
      </c>
      <c r="L205" s="23">
        <f t="shared" si="114"/>
        <v>8520</v>
      </c>
      <c r="M205" s="23">
        <f t="shared" si="114"/>
        <v>8520</v>
      </c>
      <c r="N205" s="25">
        <f t="shared" si="114"/>
        <v>8520</v>
      </c>
      <c r="O205" s="34"/>
      <c r="P205" s="34"/>
    </row>
    <row r="206" spans="2:16" x14ac:dyDescent="0.25">
      <c r="B206" s="59" t="s">
        <v>81</v>
      </c>
      <c r="C206" s="59">
        <f t="shared" ref="C206:N206" si="115">+C203+C204</f>
        <v>8520</v>
      </c>
      <c r="D206" s="59">
        <f t="shared" si="115"/>
        <v>8520</v>
      </c>
      <c r="E206" s="59">
        <f t="shared" si="115"/>
        <v>8520</v>
      </c>
      <c r="F206" s="59">
        <f t="shared" si="115"/>
        <v>8520</v>
      </c>
      <c r="G206" s="59">
        <f t="shared" si="115"/>
        <v>8520</v>
      </c>
      <c r="H206" s="59">
        <f t="shared" si="115"/>
        <v>8520</v>
      </c>
      <c r="I206" s="59">
        <f t="shared" si="115"/>
        <v>8520</v>
      </c>
      <c r="J206" s="59">
        <f t="shared" si="115"/>
        <v>8520</v>
      </c>
      <c r="K206" s="59">
        <f t="shared" si="115"/>
        <v>8520</v>
      </c>
      <c r="L206" s="59">
        <f t="shared" si="115"/>
        <v>8520</v>
      </c>
      <c r="M206" s="59">
        <f t="shared" si="115"/>
        <v>8520</v>
      </c>
      <c r="N206" s="59">
        <f t="shared" si="115"/>
        <v>8520</v>
      </c>
      <c r="O206" s="47"/>
      <c r="P206" s="34"/>
    </row>
    <row r="207" spans="2:16" x14ac:dyDescent="0.25">
      <c r="B207" s="28" t="s">
        <v>89</v>
      </c>
      <c r="C207" s="21"/>
      <c r="D207" s="21"/>
      <c r="E207" s="21"/>
      <c r="F207" s="21"/>
      <c r="G207" s="21"/>
      <c r="H207" s="21"/>
      <c r="I207" s="21"/>
      <c r="J207" s="21"/>
      <c r="K207" s="21"/>
      <c r="L207" s="21"/>
      <c r="M207" s="21"/>
      <c r="N207" s="22">
        <v>7500</v>
      </c>
      <c r="O207" s="47"/>
      <c r="P207" s="48"/>
    </row>
    <row r="208" spans="2:16" x14ac:dyDescent="0.25">
      <c r="B208" s="26" t="s">
        <v>144</v>
      </c>
      <c r="C208" s="27"/>
      <c r="D208" s="21"/>
      <c r="E208" s="21"/>
      <c r="F208" s="21"/>
      <c r="G208" s="21"/>
      <c r="H208" s="21"/>
      <c r="I208" s="21"/>
      <c r="J208" s="21"/>
      <c r="K208" s="21"/>
      <c r="L208" s="21"/>
      <c r="M208" s="21"/>
      <c r="N208" s="22">
        <f>Emprunt!K6</f>
        <v>3214.2857142857142</v>
      </c>
      <c r="O208" s="60" t="s">
        <v>90</v>
      </c>
      <c r="P208" s="61">
        <f>Emprunt!K196</f>
        <v>0</v>
      </c>
    </row>
    <row r="209" spans="2:16" x14ac:dyDescent="0.25">
      <c r="B209" s="30" t="s">
        <v>145</v>
      </c>
      <c r="C209" s="31"/>
      <c r="D209" s="31"/>
      <c r="E209" s="31"/>
      <c r="F209" s="31"/>
      <c r="G209" s="31"/>
      <c r="H209" s="31"/>
      <c r="I209" s="31"/>
      <c r="J209" s="31"/>
      <c r="K209" s="31"/>
      <c r="L209" s="31"/>
      <c r="M209" s="31"/>
      <c r="N209" s="32">
        <f>Emprunt!K40</f>
        <v>0</v>
      </c>
      <c r="O209" s="60" t="s">
        <v>90</v>
      </c>
      <c r="P209" s="61">
        <f>Emprunt!P183</f>
        <v>0</v>
      </c>
    </row>
    <row r="210" spans="2:16" x14ac:dyDescent="0.25">
      <c r="B210" s="24" t="s">
        <v>158</v>
      </c>
      <c r="C210" s="21"/>
      <c r="D210" s="21"/>
      <c r="E210" s="21"/>
      <c r="F210" s="21"/>
      <c r="G210" s="21"/>
      <c r="H210" s="21"/>
      <c r="I210" s="21"/>
      <c r="J210" s="21"/>
      <c r="K210" s="21"/>
      <c r="L210" s="21"/>
      <c r="M210" s="21"/>
      <c r="N210" s="32">
        <f>Emprunt!K28</f>
        <v>3200</v>
      </c>
      <c r="O210" s="60" t="s">
        <v>90</v>
      </c>
      <c r="P210" s="61">
        <f>Emprunt!K207</f>
        <v>0</v>
      </c>
    </row>
    <row r="211" spans="2:16" x14ac:dyDescent="0.25">
      <c r="B211" s="59" t="s">
        <v>94</v>
      </c>
      <c r="C211" s="59">
        <f t="shared" ref="C211:M211" si="116">C207+C208</f>
        <v>0</v>
      </c>
      <c r="D211" s="59">
        <f t="shared" si="116"/>
        <v>0</v>
      </c>
      <c r="E211" s="59">
        <f t="shared" si="116"/>
        <v>0</v>
      </c>
      <c r="F211" s="59">
        <f t="shared" si="116"/>
        <v>0</v>
      </c>
      <c r="G211" s="59">
        <f t="shared" si="116"/>
        <v>0</v>
      </c>
      <c r="H211" s="59">
        <f t="shared" si="116"/>
        <v>0</v>
      </c>
      <c r="I211" s="59">
        <f t="shared" si="116"/>
        <v>0</v>
      </c>
      <c r="J211" s="59">
        <f t="shared" si="116"/>
        <v>0</v>
      </c>
      <c r="K211" s="59">
        <f t="shared" si="116"/>
        <v>0</v>
      </c>
      <c r="L211" s="59">
        <f t="shared" si="116"/>
        <v>0</v>
      </c>
      <c r="M211" s="59">
        <f t="shared" si="116"/>
        <v>0</v>
      </c>
      <c r="N211" s="59">
        <f>N207+N208+N209+N210</f>
        <v>13914.285714285714</v>
      </c>
      <c r="O211" s="60" t="s">
        <v>93</v>
      </c>
      <c r="P211" s="61">
        <f>SUM(C211:N211)</f>
        <v>13914.285714285714</v>
      </c>
    </row>
    <row r="212" spans="2:16" x14ac:dyDescent="0.25">
      <c r="B212" s="21" t="s">
        <v>95</v>
      </c>
      <c r="C212" s="21">
        <f t="shared" ref="C212:N212" si="117">307500/12</f>
        <v>25625</v>
      </c>
      <c r="D212" s="21">
        <f t="shared" si="117"/>
        <v>25625</v>
      </c>
      <c r="E212" s="21">
        <f t="shared" si="117"/>
        <v>25625</v>
      </c>
      <c r="F212" s="21">
        <f t="shared" si="117"/>
        <v>25625</v>
      </c>
      <c r="G212" s="21">
        <f t="shared" si="117"/>
        <v>25625</v>
      </c>
      <c r="H212" s="21">
        <f t="shared" si="117"/>
        <v>25625</v>
      </c>
      <c r="I212" s="21">
        <f t="shared" si="117"/>
        <v>25625</v>
      </c>
      <c r="J212" s="21">
        <f t="shared" si="117"/>
        <v>25625</v>
      </c>
      <c r="K212" s="21">
        <f t="shared" si="117"/>
        <v>25625</v>
      </c>
      <c r="L212" s="21">
        <f t="shared" si="117"/>
        <v>25625</v>
      </c>
      <c r="M212" s="21">
        <f t="shared" si="117"/>
        <v>25625</v>
      </c>
      <c r="N212" s="22">
        <f t="shared" si="117"/>
        <v>25625</v>
      </c>
      <c r="O212" s="47"/>
      <c r="P212" s="48"/>
    </row>
    <row r="213" spans="2:16" x14ac:dyDescent="0.25">
      <c r="B213" s="59" t="s">
        <v>96</v>
      </c>
      <c r="C213" s="59">
        <f t="shared" ref="C213:N213" si="118">C212</f>
        <v>25625</v>
      </c>
      <c r="D213" s="59">
        <f t="shared" si="118"/>
        <v>25625</v>
      </c>
      <c r="E213" s="59">
        <f t="shared" si="118"/>
        <v>25625</v>
      </c>
      <c r="F213" s="59">
        <f t="shared" si="118"/>
        <v>25625</v>
      </c>
      <c r="G213" s="59">
        <f t="shared" si="118"/>
        <v>25625</v>
      </c>
      <c r="H213" s="59">
        <f t="shared" si="118"/>
        <v>25625</v>
      </c>
      <c r="I213" s="59">
        <f t="shared" si="118"/>
        <v>25625</v>
      </c>
      <c r="J213" s="59">
        <f t="shared" si="118"/>
        <v>25625</v>
      </c>
      <c r="K213" s="59">
        <f t="shared" si="118"/>
        <v>25625</v>
      </c>
      <c r="L213" s="59">
        <f t="shared" si="118"/>
        <v>25625</v>
      </c>
      <c r="M213" s="59">
        <f t="shared" si="118"/>
        <v>25625</v>
      </c>
      <c r="N213" s="59">
        <f t="shared" si="118"/>
        <v>25625</v>
      </c>
      <c r="O213" s="60" t="s">
        <v>97</v>
      </c>
      <c r="P213" s="61">
        <f>SUM(C213:N213)</f>
        <v>307500</v>
      </c>
    </row>
    <row r="214" spans="2:16" x14ac:dyDescent="0.25">
      <c r="B214" s="21" t="s">
        <v>21</v>
      </c>
      <c r="C214" s="21">
        <f t="shared" ref="C214:N214" si="119">C212*0.4</f>
        <v>10250</v>
      </c>
      <c r="D214" s="21">
        <f t="shared" si="119"/>
        <v>10250</v>
      </c>
      <c r="E214" s="21">
        <f t="shared" si="119"/>
        <v>10250</v>
      </c>
      <c r="F214" s="21">
        <f t="shared" si="119"/>
        <v>10250</v>
      </c>
      <c r="G214" s="21">
        <f t="shared" si="119"/>
        <v>10250</v>
      </c>
      <c r="H214" s="21">
        <f t="shared" si="119"/>
        <v>10250</v>
      </c>
      <c r="I214" s="21">
        <f t="shared" si="119"/>
        <v>10250</v>
      </c>
      <c r="J214" s="21">
        <f t="shared" si="119"/>
        <v>10250</v>
      </c>
      <c r="K214" s="21">
        <f t="shared" si="119"/>
        <v>10250</v>
      </c>
      <c r="L214" s="21">
        <f t="shared" si="119"/>
        <v>10250</v>
      </c>
      <c r="M214" s="21">
        <f t="shared" si="119"/>
        <v>10250</v>
      </c>
      <c r="N214" s="22">
        <f t="shared" si="119"/>
        <v>10250</v>
      </c>
      <c r="O214" s="60" t="s">
        <v>98</v>
      </c>
      <c r="P214" s="61">
        <f>SUM(C214:N214)</f>
        <v>123000</v>
      </c>
    </row>
    <row r="215" spans="2:16" x14ac:dyDescent="0.25">
      <c r="B215" s="59" t="s">
        <v>99</v>
      </c>
      <c r="C215" s="59">
        <f>'N+2 '!P214</f>
        <v>0</v>
      </c>
      <c r="D215" s="59">
        <f t="shared" ref="D215:N215" si="120">C214</f>
        <v>10250</v>
      </c>
      <c r="E215" s="59">
        <f t="shared" si="120"/>
        <v>10250</v>
      </c>
      <c r="F215" s="59">
        <f t="shared" si="120"/>
        <v>10250</v>
      </c>
      <c r="G215" s="59">
        <f t="shared" si="120"/>
        <v>10250</v>
      </c>
      <c r="H215" s="59">
        <f t="shared" si="120"/>
        <v>10250</v>
      </c>
      <c r="I215" s="59">
        <f t="shared" si="120"/>
        <v>10250</v>
      </c>
      <c r="J215" s="59">
        <f t="shared" si="120"/>
        <v>10250</v>
      </c>
      <c r="K215" s="59">
        <f t="shared" si="120"/>
        <v>10250</v>
      </c>
      <c r="L215" s="59">
        <f t="shared" si="120"/>
        <v>10250</v>
      </c>
      <c r="M215" s="59">
        <f t="shared" si="120"/>
        <v>10250</v>
      </c>
      <c r="N215" s="59">
        <f t="shared" si="120"/>
        <v>10250</v>
      </c>
      <c r="O215" s="60" t="s">
        <v>100</v>
      </c>
      <c r="P215" s="61">
        <f>N214</f>
        <v>10250</v>
      </c>
    </row>
    <row r="216" spans="2:16" x14ac:dyDescent="0.25">
      <c r="B216" s="20"/>
      <c r="C216" s="20"/>
      <c r="D216" s="20"/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  <c r="P216" s="20"/>
    </row>
    <row r="217" spans="2:16" x14ac:dyDescent="0.25">
      <c r="B217" s="20"/>
      <c r="C217" s="20"/>
      <c r="D217" s="20"/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0"/>
      <c r="P217" s="20"/>
    </row>
    <row r="218" spans="2:16" x14ac:dyDescent="0.25">
      <c r="B218" s="267" t="s">
        <v>160</v>
      </c>
      <c r="C218" s="267"/>
      <c r="D218" s="267"/>
      <c r="E218" s="267"/>
      <c r="F218" s="267"/>
      <c r="G218" s="267"/>
      <c r="H218" s="267"/>
      <c r="I218" s="267"/>
      <c r="J218" s="267"/>
      <c r="K218" s="267"/>
      <c r="L218" s="267"/>
      <c r="M218" s="267"/>
      <c r="N218" s="267"/>
      <c r="O218" s="267"/>
      <c r="P218" s="267"/>
    </row>
    <row r="219" spans="2:16" x14ac:dyDescent="0.25">
      <c r="B219" s="213"/>
      <c r="C219" s="215" t="s">
        <v>50</v>
      </c>
      <c r="D219" s="215" t="s">
        <v>51</v>
      </c>
      <c r="E219" s="215" t="s">
        <v>52</v>
      </c>
      <c r="F219" s="215" t="s">
        <v>53</v>
      </c>
      <c r="G219" s="215" t="s">
        <v>54</v>
      </c>
      <c r="H219" s="215" t="s">
        <v>55</v>
      </c>
      <c r="I219" s="215" t="s">
        <v>56</v>
      </c>
      <c r="J219" s="215" t="s">
        <v>57</v>
      </c>
      <c r="K219" s="215" t="s">
        <v>58</v>
      </c>
      <c r="L219" s="215" t="s">
        <v>59</v>
      </c>
      <c r="M219" s="215" t="s">
        <v>60</v>
      </c>
      <c r="N219" s="215" t="s">
        <v>61</v>
      </c>
      <c r="O219" s="220" t="s">
        <v>62</v>
      </c>
      <c r="P219" s="221"/>
    </row>
    <row r="220" spans="2:16" x14ac:dyDescent="0.25">
      <c r="B220" s="214"/>
      <c r="C220" s="216"/>
      <c r="D220" s="216"/>
      <c r="E220" s="216"/>
      <c r="F220" s="216"/>
      <c r="G220" s="216"/>
      <c r="H220" s="216"/>
      <c r="I220" s="216"/>
      <c r="J220" s="216"/>
      <c r="K220" s="216"/>
      <c r="L220" s="216"/>
      <c r="M220" s="216"/>
      <c r="N220" s="216"/>
      <c r="O220" s="58" t="s">
        <v>64</v>
      </c>
      <c r="P220" s="58" t="s">
        <v>65</v>
      </c>
    </row>
    <row r="221" spans="2:16" x14ac:dyDescent="0.25">
      <c r="B221" s="46" t="s">
        <v>102</v>
      </c>
      <c r="C221" s="35"/>
      <c r="D221" s="35"/>
      <c r="E221" s="35"/>
      <c r="F221" s="35"/>
      <c r="G221" s="35"/>
      <c r="H221" s="35"/>
      <c r="I221" s="35"/>
      <c r="J221" s="35"/>
      <c r="K221" s="35"/>
      <c r="L221" s="35">
        <v>8200</v>
      </c>
      <c r="M221" s="35"/>
      <c r="N221" s="35"/>
      <c r="O221" s="60" t="s">
        <v>103</v>
      </c>
      <c r="P221" s="61">
        <f>SUM(C221:N221)</f>
        <v>8200</v>
      </c>
    </row>
    <row r="222" spans="2:16" x14ac:dyDescent="0.25">
      <c r="B222" s="34" t="s">
        <v>105</v>
      </c>
      <c r="C222" s="34"/>
      <c r="D222" s="34"/>
      <c r="E222" s="34"/>
      <c r="F222" s="34"/>
      <c r="G222" s="34"/>
      <c r="H222" s="34"/>
      <c r="I222" s="34"/>
      <c r="J222" s="34"/>
      <c r="K222" s="34"/>
      <c r="L222" s="34">
        <v>8200</v>
      </c>
      <c r="M222" s="34"/>
      <c r="N222" s="34"/>
      <c r="O222" s="34"/>
      <c r="P222" s="34"/>
    </row>
    <row r="223" spans="2:16" x14ac:dyDescent="0.25">
      <c r="B223" s="34" t="s">
        <v>106</v>
      </c>
      <c r="C223" s="34">
        <f t="shared" ref="C223:N223" si="121">$P$43/12</f>
        <v>0</v>
      </c>
      <c r="D223" s="34">
        <f t="shared" si="121"/>
        <v>0</v>
      </c>
      <c r="E223" s="34">
        <f t="shared" si="121"/>
        <v>0</v>
      </c>
      <c r="F223" s="34">
        <f t="shared" si="121"/>
        <v>0</v>
      </c>
      <c r="G223" s="34">
        <f t="shared" si="121"/>
        <v>0</v>
      </c>
      <c r="H223" s="34">
        <f t="shared" si="121"/>
        <v>0</v>
      </c>
      <c r="I223" s="34">
        <f t="shared" si="121"/>
        <v>0</v>
      </c>
      <c r="J223" s="34">
        <f t="shared" si="121"/>
        <v>0</v>
      </c>
      <c r="K223" s="34">
        <f t="shared" si="121"/>
        <v>0</v>
      </c>
      <c r="L223" s="34">
        <f t="shared" si="121"/>
        <v>0</v>
      </c>
      <c r="M223" s="34">
        <f t="shared" si="121"/>
        <v>0</v>
      </c>
      <c r="N223" s="34">
        <f t="shared" si="121"/>
        <v>0</v>
      </c>
      <c r="O223" s="60" t="s">
        <v>107</v>
      </c>
      <c r="P223" s="61">
        <f>Emprunt!D191</f>
        <v>0</v>
      </c>
    </row>
    <row r="224" spans="2:16" x14ac:dyDescent="0.25">
      <c r="B224" s="34" t="s">
        <v>108</v>
      </c>
      <c r="C224" s="34">
        <f t="shared" ref="C224:N224" si="122">$P$44/12</f>
        <v>0</v>
      </c>
      <c r="D224" s="34">
        <f t="shared" si="122"/>
        <v>0</v>
      </c>
      <c r="E224" s="34">
        <f t="shared" si="122"/>
        <v>0</v>
      </c>
      <c r="F224" s="34">
        <f t="shared" si="122"/>
        <v>0</v>
      </c>
      <c r="G224" s="34">
        <f t="shared" si="122"/>
        <v>0</v>
      </c>
      <c r="H224" s="34">
        <f t="shared" si="122"/>
        <v>0</v>
      </c>
      <c r="I224" s="34">
        <f t="shared" si="122"/>
        <v>0</v>
      </c>
      <c r="J224" s="34">
        <f t="shared" si="122"/>
        <v>0</v>
      </c>
      <c r="K224" s="34">
        <f t="shared" si="122"/>
        <v>0</v>
      </c>
      <c r="L224" s="34">
        <f t="shared" si="122"/>
        <v>0</v>
      </c>
      <c r="M224" s="34">
        <f t="shared" si="122"/>
        <v>0</v>
      </c>
      <c r="N224" s="34">
        <f t="shared" si="122"/>
        <v>0</v>
      </c>
      <c r="O224" s="60" t="s">
        <v>109</v>
      </c>
      <c r="P224" s="61">
        <f>Emprunt!E189</f>
        <v>0</v>
      </c>
    </row>
    <row r="225" spans="2:16" x14ac:dyDescent="0.25">
      <c r="B225" s="59" t="s">
        <v>71</v>
      </c>
      <c r="C225" s="59">
        <f t="shared" ref="C225:N225" si="123">C223+C224</f>
        <v>0</v>
      </c>
      <c r="D225" s="59">
        <f t="shared" si="123"/>
        <v>0</v>
      </c>
      <c r="E225" s="59">
        <f t="shared" si="123"/>
        <v>0</v>
      </c>
      <c r="F225" s="59">
        <f t="shared" si="123"/>
        <v>0</v>
      </c>
      <c r="G225" s="59">
        <f t="shared" si="123"/>
        <v>0</v>
      </c>
      <c r="H225" s="59">
        <f t="shared" si="123"/>
        <v>0</v>
      </c>
      <c r="I225" s="59">
        <f t="shared" si="123"/>
        <v>0</v>
      </c>
      <c r="J225" s="59">
        <f t="shared" si="123"/>
        <v>0</v>
      </c>
      <c r="K225" s="59">
        <f t="shared" si="123"/>
        <v>0</v>
      </c>
      <c r="L225" s="59">
        <f t="shared" si="123"/>
        <v>0</v>
      </c>
      <c r="M225" s="59">
        <f t="shared" si="123"/>
        <v>0</v>
      </c>
      <c r="N225" s="59">
        <f t="shared" si="123"/>
        <v>0</v>
      </c>
      <c r="O225" s="38"/>
      <c r="P225" s="38"/>
    </row>
    <row r="226" spans="2:16" x14ac:dyDescent="0.25">
      <c r="B226" s="20"/>
      <c r="C226" s="20"/>
      <c r="D226" s="20"/>
      <c r="E226" s="20"/>
      <c r="F226" s="20"/>
      <c r="G226" s="20"/>
      <c r="H226" s="20"/>
      <c r="I226" s="20"/>
      <c r="J226" s="20"/>
      <c r="K226" s="20"/>
      <c r="L226" s="20"/>
      <c r="M226" s="20"/>
      <c r="N226" s="20"/>
      <c r="O226" s="20"/>
      <c r="P226" s="20"/>
    </row>
    <row r="227" spans="2:16" x14ac:dyDescent="0.25">
      <c r="B227" s="20"/>
      <c r="C227" s="20"/>
      <c r="D227" s="20"/>
      <c r="E227" s="20"/>
      <c r="F227" s="20"/>
      <c r="G227" s="20"/>
      <c r="H227" s="20"/>
      <c r="I227" s="20"/>
      <c r="J227" s="20"/>
      <c r="K227" s="20"/>
      <c r="L227" s="20"/>
      <c r="M227" s="20"/>
      <c r="N227" s="20"/>
      <c r="O227" s="20"/>
      <c r="P227" s="20"/>
    </row>
    <row r="228" spans="2:16" x14ac:dyDescent="0.25">
      <c r="B228" s="36" t="s">
        <v>161</v>
      </c>
      <c r="C228" s="36"/>
      <c r="D228" s="36"/>
      <c r="E228" s="36"/>
      <c r="F228" s="36"/>
      <c r="G228" s="36"/>
      <c r="H228" s="36"/>
      <c r="I228" s="36"/>
      <c r="J228" s="36"/>
      <c r="K228" s="36"/>
      <c r="L228" s="36"/>
      <c r="M228" s="36"/>
      <c r="N228" s="36"/>
      <c r="O228" s="36"/>
      <c r="P228" s="36"/>
    </row>
    <row r="229" spans="2:16" x14ac:dyDescent="0.25">
      <c r="B229" s="213"/>
      <c r="C229" s="215" t="s">
        <v>50</v>
      </c>
      <c r="D229" s="215" t="s">
        <v>51</v>
      </c>
      <c r="E229" s="215" t="s">
        <v>52</v>
      </c>
      <c r="F229" s="215" t="s">
        <v>53</v>
      </c>
      <c r="G229" s="215" t="s">
        <v>54</v>
      </c>
      <c r="H229" s="215" t="s">
        <v>55</v>
      </c>
      <c r="I229" s="215" t="s">
        <v>56</v>
      </c>
      <c r="J229" s="215" t="s">
        <v>57</v>
      </c>
      <c r="K229" s="215" t="s">
        <v>58</v>
      </c>
      <c r="L229" s="215" t="s">
        <v>59</v>
      </c>
      <c r="M229" s="215" t="s">
        <v>60</v>
      </c>
      <c r="N229" s="215" t="s">
        <v>61</v>
      </c>
      <c r="O229" s="220" t="s">
        <v>62</v>
      </c>
      <c r="P229" s="221"/>
    </row>
    <row r="230" spans="2:16" x14ac:dyDescent="0.25">
      <c r="B230" s="214"/>
      <c r="C230" s="216"/>
      <c r="D230" s="216"/>
      <c r="E230" s="216"/>
      <c r="F230" s="216"/>
      <c r="G230" s="216"/>
      <c r="H230" s="216"/>
      <c r="I230" s="216"/>
      <c r="J230" s="216"/>
      <c r="K230" s="216"/>
      <c r="L230" s="216"/>
      <c r="M230" s="216"/>
      <c r="N230" s="216"/>
      <c r="O230" s="58" t="s">
        <v>64</v>
      </c>
      <c r="P230" s="58" t="s">
        <v>65</v>
      </c>
    </row>
    <row r="231" spans="2:16" x14ac:dyDescent="0.25">
      <c r="B231" s="35" t="s">
        <v>111</v>
      </c>
      <c r="C231" s="35">
        <f>Emprunt!J28</f>
        <v>22400</v>
      </c>
      <c r="D231" s="35"/>
      <c r="E231" s="35"/>
      <c r="F231" s="35"/>
      <c r="G231" s="35"/>
      <c r="H231" s="35"/>
      <c r="I231" s="35"/>
      <c r="J231" s="35"/>
      <c r="K231" s="35"/>
      <c r="L231" s="35"/>
      <c r="M231" s="35"/>
      <c r="N231" s="35"/>
      <c r="O231" s="60" t="s">
        <v>112</v>
      </c>
      <c r="P231" s="61">
        <f>SUM(C231:N231)</f>
        <v>22400</v>
      </c>
    </row>
    <row r="232" spans="2:16" x14ac:dyDescent="0.25">
      <c r="B232" s="34" t="s">
        <v>113</v>
      </c>
      <c r="C232" s="34">
        <f t="shared" ref="C232:N232" si="124">C231*20%</f>
        <v>4480</v>
      </c>
      <c r="D232" s="34">
        <f t="shared" si="124"/>
        <v>0</v>
      </c>
      <c r="E232" s="34">
        <f t="shared" si="124"/>
        <v>0</v>
      </c>
      <c r="F232" s="34">
        <f t="shared" si="124"/>
        <v>0</v>
      </c>
      <c r="G232" s="34">
        <f t="shared" si="124"/>
        <v>0</v>
      </c>
      <c r="H232" s="34">
        <f t="shared" si="124"/>
        <v>0</v>
      </c>
      <c r="I232" s="34">
        <f t="shared" si="124"/>
        <v>0</v>
      </c>
      <c r="J232" s="34">
        <f t="shared" si="124"/>
        <v>0</v>
      </c>
      <c r="K232" s="34">
        <f t="shared" si="124"/>
        <v>0</v>
      </c>
      <c r="L232" s="34">
        <f t="shared" si="124"/>
        <v>0</v>
      </c>
      <c r="M232" s="34">
        <f t="shared" si="124"/>
        <v>0</v>
      </c>
      <c r="N232" s="34">
        <f t="shared" si="124"/>
        <v>0</v>
      </c>
      <c r="O232" s="34"/>
      <c r="P232" s="34"/>
    </row>
    <row r="233" spans="2:16" x14ac:dyDescent="0.25">
      <c r="B233" s="34" t="s">
        <v>114</v>
      </c>
      <c r="C233" s="34">
        <f t="shared" ref="C233:N233" si="125">C231+C232</f>
        <v>26880</v>
      </c>
      <c r="D233" s="34">
        <f t="shared" si="125"/>
        <v>0</v>
      </c>
      <c r="E233" s="34">
        <f t="shared" si="125"/>
        <v>0</v>
      </c>
      <c r="F233" s="34">
        <f t="shared" si="125"/>
        <v>0</v>
      </c>
      <c r="G233" s="34">
        <f t="shared" si="125"/>
        <v>0</v>
      </c>
      <c r="H233" s="34">
        <f t="shared" si="125"/>
        <v>0</v>
      </c>
      <c r="I233" s="34">
        <f t="shared" si="125"/>
        <v>0</v>
      </c>
      <c r="J233" s="34">
        <f t="shared" si="125"/>
        <v>0</v>
      </c>
      <c r="K233" s="34">
        <f t="shared" si="125"/>
        <v>0</v>
      </c>
      <c r="L233" s="34">
        <f t="shared" si="125"/>
        <v>0</v>
      </c>
      <c r="M233" s="34">
        <f t="shared" si="125"/>
        <v>0</v>
      </c>
      <c r="N233" s="34">
        <f t="shared" si="125"/>
        <v>0</v>
      </c>
      <c r="O233" s="34"/>
      <c r="P233" s="34"/>
    </row>
    <row r="234" spans="2:16" x14ac:dyDescent="0.25">
      <c r="B234" s="59" t="s">
        <v>81</v>
      </c>
      <c r="C234" s="59">
        <f t="shared" ref="C234:N234" si="126">C233</f>
        <v>26880</v>
      </c>
      <c r="D234" s="59">
        <f t="shared" si="126"/>
        <v>0</v>
      </c>
      <c r="E234" s="59">
        <f t="shared" si="126"/>
        <v>0</v>
      </c>
      <c r="F234" s="59">
        <f t="shared" si="126"/>
        <v>0</v>
      </c>
      <c r="G234" s="59">
        <f t="shared" si="126"/>
        <v>0</v>
      </c>
      <c r="H234" s="59">
        <f t="shared" si="126"/>
        <v>0</v>
      </c>
      <c r="I234" s="59">
        <f t="shared" si="126"/>
        <v>0</v>
      </c>
      <c r="J234" s="59">
        <f t="shared" si="126"/>
        <v>0</v>
      </c>
      <c r="K234" s="59">
        <f t="shared" si="126"/>
        <v>0</v>
      </c>
      <c r="L234" s="59">
        <f t="shared" si="126"/>
        <v>0</v>
      </c>
      <c r="M234" s="59">
        <f t="shared" si="126"/>
        <v>0</v>
      </c>
      <c r="N234" s="59">
        <f t="shared" si="126"/>
        <v>0</v>
      </c>
      <c r="O234" s="60" t="s">
        <v>115</v>
      </c>
      <c r="P234" s="61">
        <v>0</v>
      </c>
    </row>
    <row r="235" spans="2:16" x14ac:dyDescent="0.25">
      <c r="B235" s="20"/>
      <c r="C235" s="20" t="s">
        <v>149</v>
      </c>
      <c r="D235" s="20"/>
      <c r="E235" s="20"/>
      <c r="F235" s="20"/>
      <c r="G235" s="20"/>
      <c r="H235" s="20"/>
      <c r="I235" s="20"/>
      <c r="J235" s="20"/>
      <c r="K235" s="20"/>
      <c r="L235" s="20"/>
      <c r="M235" s="20"/>
      <c r="N235" s="20"/>
      <c r="O235" s="20"/>
      <c r="P235" s="20"/>
    </row>
    <row r="236" spans="2:16" x14ac:dyDescent="0.25">
      <c r="B236" s="20"/>
      <c r="C236" s="20"/>
      <c r="D236" s="20"/>
      <c r="E236" s="20"/>
      <c r="F236" s="20"/>
      <c r="G236" s="20"/>
      <c r="H236" s="20"/>
      <c r="I236" s="20"/>
      <c r="J236" s="20"/>
      <c r="K236" s="20"/>
      <c r="L236" s="20"/>
      <c r="M236" s="20"/>
      <c r="N236" s="20"/>
      <c r="O236" s="20"/>
      <c r="P236" s="20"/>
    </row>
    <row r="237" spans="2:16" x14ac:dyDescent="0.25">
      <c r="B237" s="36" t="s">
        <v>162</v>
      </c>
      <c r="C237" s="36"/>
      <c r="D237" s="36"/>
      <c r="E237" s="36"/>
      <c r="F237" s="36"/>
      <c r="G237" s="36"/>
      <c r="H237" s="36"/>
      <c r="I237" s="36"/>
      <c r="J237" s="36"/>
      <c r="K237" s="36"/>
      <c r="L237" s="36"/>
      <c r="M237" s="36"/>
      <c r="N237" s="36"/>
      <c r="O237" s="36"/>
      <c r="P237" s="36"/>
    </row>
    <row r="238" spans="2:16" x14ac:dyDescent="0.25">
      <c r="B238" s="213"/>
      <c r="C238" s="215" t="s">
        <v>50</v>
      </c>
      <c r="D238" s="215" t="s">
        <v>51</v>
      </c>
      <c r="E238" s="215" t="s">
        <v>52</v>
      </c>
      <c r="F238" s="215" t="s">
        <v>53</v>
      </c>
      <c r="G238" s="215" t="s">
        <v>54</v>
      </c>
      <c r="H238" s="215" t="s">
        <v>55</v>
      </c>
      <c r="I238" s="215" t="s">
        <v>56</v>
      </c>
      <c r="J238" s="215" t="s">
        <v>57</v>
      </c>
      <c r="K238" s="215" t="s">
        <v>58</v>
      </c>
      <c r="L238" s="215" t="s">
        <v>59</v>
      </c>
      <c r="M238" s="215" t="s">
        <v>60</v>
      </c>
      <c r="N238" s="215" t="s">
        <v>61</v>
      </c>
      <c r="O238" s="220" t="s">
        <v>62</v>
      </c>
      <c r="P238" s="221"/>
    </row>
    <row r="239" spans="2:16" x14ac:dyDescent="0.25">
      <c r="B239" s="214"/>
      <c r="C239" s="216"/>
      <c r="D239" s="216"/>
      <c r="E239" s="216"/>
      <c r="F239" s="216"/>
      <c r="G239" s="216"/>
      <c r="H239" s="216"/>
      <c r="I239" s="216"/>
      <c r="J239" s="216"/>
      <c r="K239" s="216"/>
      <c r="L239" s="216"/>
      <c r="M239" s="216"/>
      <c r="N239" s="216"/>
      <c r="O239" s="58" t="s">
        <v>64</v>
      </c>
      <c r="P239" s="58" t="s">
        <v>65</v>
      </c>
    </row>
    <row r="240" spans="2:16" x14ac:dyDescent="0.25">
      <c r="B240" s="59" t="s">
        <v>68</v>
      </c>
      <c r="C240" s="59">
        <f t="shared" ref="C240:N240" si="127">C186</f>
        <v>1125.18848</v>
      </c>
      <c r="D240" s="59">
        <f t="shared" si="127"/>
        <v>1125.18848</v>
      </c>
      <c r="E240" s="59">
        <f t="shared" si="127"/>
        <v>1125.18848</v>
      </c>
      <c r="F240" s="59">
        <f t="shared" si="127"/>
        <v>1125.18848</v>
      </c>
      <c r="G240" s="59">
        <f t="shared" si="127"/>
        <v>1125.18848</v>
      </c>
      <c r="H240" s="59">
        <f t="shared" si="127"/>
        <v>1125.18848</v>
      </c>
      <c r="I240" s="59">
        <f t="shared" si="127"/>
        <v>1125.18848</v>
      </c>
      <c r="J240" s="59">
        <f t="shared" si="127"/>
        <v>1125.18848</v>
      </c>
      <c r="K240" s="59">
        <f t="shared" si="127"/>
        <v>1125.18848</v>
      </c>
      <c r="L240" s="59">
        <f t="shared" si="127"/>
        <v>1125.18848</v>
      </c>
      <c r="M240" s="59">
        <f t="shared" si="127"/>
        <v>1125.18848</v>
      </c>
      <c r="N240" s="59">
        <f t="shared" si="127"/>
        <v>1125.18848</v>
      </c>
      <c r="O240" s="34"/>
      <c r="P240" s="34"/>
    </row>
    <row r="241" spans="2:27" x14ac:dyDescent="0.25">
      <c r="B241" s="34" t="s">
        <v>79</v>
      </c>
      <c r="C241" s="34">
        <f t="shared" ref="C241:N241" si="128">C195</f>
        <v>382.56408320000003</v>
      </c>
      <c r="D241" s="34">
        <f t="shared" si="128"/>
        <v>382.56408320000003</v>
      </c>
      <c r="E241" s="34">
        <f t="shared" si="128"/>
        <v>382.56408320000003</v>
      </c>
      <c r="F241" s="34">
        <f t="shared" si="128"/>
        <v>382.56408320000003</v>
      </c>
      <c r="G241" s="34">
        <f t="shared" si="128"/>
        <v>382.56408320000003</v>
      </c>
      <c r="H241" s="34">
        <f t="shared" si="128"/>
        <v>382.56408320000003</v>
      </c>
      <c r="I241" s="34">
        <f t="shared" si="128"/>
        <v>382.56408320000003</v>
      </c>
      <c r="J241" s="34">
        <f t="shared" si="128"/>
        <v>382.56408320000003</v>
      </c>
      <c r="K241" s="34">
        <f t="shared" si="128"/>
        <v>382.56408320000003</v>
      </c>
      <c r="L241" s="34">
        <f t="shared" si="128"/>
        <v>382.56408320000003</v>
      </c>
      <c r="M241" s="34">
        <f t="shared" si="128"/>
        <v>382.56408320000003</v>
      </c>
      <c r="N241" s="34">
        <f t="shared" si="128"/>
        <v>382.56408320000003</v>
      </c>
      <c r="O241" s="34"/>
      <c r="P241" s="34"/>
    </row>
    <row r="242" spans="2:27" x14ac:dyDescent="0.25">
      <c r="B242" s="34" t="s">
        <v>86</v>
      </c>
      <c r="C242" s="34">
        <f t="shared" ref="C242:N242" si="129">C204</f>
        <v>1420</v>
      </c>
      <c r="D242" s="34">
        <f t="shared" si="129"/>
        <v>1420</v>
      </c>
      <c r="E242" s="34">
        <f t="shared" si="129"/>
        <v>1420</v>
      </c>
      <c r="F242" s="34">
        <f t="shared" si="129"/>
        <v>1420</v>
      </c>
      <c r="G242" s="34">
        <f t="shared" si="129"/>
        <v>1420</v>
      </c>
      <c r="H242" s="34">
        <f t="shared" si="129"/>
        <v>1420</v>
      </c>
      <c r="I242" s="34">
        <f t="shared" si="129"/>
        <v>1420</v>
      </c>
      <c r="J242" s="34">
        <f t="shared" si="129"/>
        <v>1420</v>
      </c>
      <c r="K242" s="34">
        <f t="shared" si="129"/>
        <v>1420</v>
      </c>
      <c r="L242" s="34">
        <f t="shared" si="129"/>
        <v>1420</v>
      </c>
      <c r="M242" s="34">
        <f t="shared" si="129"/>
        <v>1420</v>
      </c>
      <c r="N242" s="34">
        <f t="shared" si="129"/>
        <v>1420</v>
      </c>
      <c r="O242" s="34"/>
      <c r="P242" s="34"/>
    </row>
    <row r="243" spans="2:27" x14ac:dyDescent="0.25">
      <c r="B243" s="59" t="s">
        <v>113</v>
      </c>
      <c r="C243" s="59">
        <f t="shared" ref="C243:N243" si="130">C232</f>
        <v>4480</v>
      </c>
      <c r="D243" s="59">
        <f t="shared" si="130"/>
        <v>0</v>
      </c>
      <c r="E243" s="59">
        <f t="shared" si="130"/>
        <v>0</v>
      </c>
      <c r="F243" s="59">
        <f t="shared" si="130"/>
        <v>0</v>
      </c>
      <c r="G243" s="59">
        <f t="shared" si="130"/>
        <v>0</v>
      </c>
      <c r="H243" s="59">
        <f t="shared" si="130"/>
        <v>0</v>
      </c>
      <c r="I243" s="59">
        <f t="shared" si="130"/>
        <v>0</v>
      </c>
      <c r="J243" s="59">
        <f t="shared" si="130"/>
        <v>0</v>
      </c>
      <c r="K243" s="59">
        <f t="shared" si="130"/>
        <v>0</v>
      </c>
      <c r="L243" s="59">
        <f t="shared" si="130"/>
        <v>0</v>
      </c>
      <c r="M243" s="59">
        <f t="shared" si="130"/>
        <v>0</v>
      </c>
      <c r="N243" s="59">
        <f t="shared" si="130"/>
        <v>0</v>
      </c>
      <c r="O243" s="34"/>
      <c r="P243" s="34"/>
    </row>
    <row r="244" spans="2:27" x14ac:dyDescent="0.25">
      <c r="B244" s="44" t="s">
        <v>117</v>
      </c>
      <c r="C244" s="42">
        <f t="shared" ref="C244:N244" si="131">C241+C242+C243</f>
        <v>6282.5640831999999</v>
      </c>
      <c r="D244" s="42">
        <f t="shared" si="131"/>
        <v>1802.5640831999999</v>
      </c>
      <c r="E244" s="42">
        <f t="shared" si="131"/>
        <v>1802.5640831999999</v>
      </c>
      <c r="F244" s="42">
        <f t="shared" si="131"/>
        <v>1802.5640831999999</v>
      </c>
      <c r="G244" s="42">
        <f t="shared" si="131"/>
        <v>1802.5640831999999</v>
      </c>
      <c r="H244" s="42">
        <f t="shared" si="131"/>
        <v>1802.5640831999999</v>
      </c>
      <c r="I244" s="42">
        <f t="shared" si="131"/>
        <v>1802.5640831999999</v>
      </c>
      <c r="J244" s="42">
        <f t="shared" si="131"/>
        <v>1802.5640831999999</v>
      </c>
      <c r="K244" s="42">
        <f t="shared" si="131"/>
        <v>1802.5640831999999</v>
      </c>
      <c r="L244" s="42">
        <f t="shared" si="131"/>
        <v>1802.5640831999999</v>
      </c>
      <c r="M244" s="42">
        <f t="shared" si="131"/>
        <v>1802.5640831999999</v>
      </c>
      <c r="N244" s="42">
        <f t="shared" si="131"/>
        <v>1802.5640831999999</v>
      </c>
      <c r="O244" s="34"/>
      <c r="P244" s="34"/>
    </row>
    <row r="245" spans="2:27" x14ac:dyDescent="0.25">
      <c r="B245" s="45" t="s">
        <v>118</v>
      </c>
      <c r="C245" s="43">
        <f t="shared" ref="C245:N245" si="132">C240-C244</f>
        <v>-5157.3756032000001</v>
      </c>
      <c r="D245" s="43">
        <f t="shared" si="132"/>
        <v>-677.37560319999989</v>
      </c>
      <c r="E245" s="43">
        <f t="shared" si="132"/>
        <v>-677.37560319999989</v>
      </c>
      <c r="F245" s="43">
        <f t="shared" si="132"/>
        <v>-677.37560319999989</v>
      </c>
      <c r="G245" s="43">
        <f t="shared" si="132"/>
        <v>-677.37560319999989</v>
      </c>
      <c r="H245" s="43">
        <f t="shared" si="132"/>
        <v>-677.37560319999989</v>
      </c>
      <c r="I245" s="43">
        <f t="shared" si="132"/>
        <v>-677.37560319999989</v>
      </c>
      <c r="J245" s="43">
        <f t="shared" si="132"/>
        <v>-677.37560319999989</v>
      </c>
      <c r="K245" s="43">
        <f t="shared" si="132"/>
        <v>-677.37560319999989</v>
      </c>
      <c r="L245" s="43">
        <f t="shared" si="132"/>
        <v>-677.37560319999989</v>
      </c>
      <c r="M245" s="43">
        <f t="shared" si="132"/>
        <v>-677.37560319999989</v>
      </c>
      <c r="N245" s="43">
        <f t="shared" si="132"/>
        <v>-677.37560319999989</v>
      </c>
      <c r="O245" s="34"/>
      <c r="P245" s="34"/>
    </row>
    <row r="246" spans="2:27" x14ac:dyDescent="0.25">
      <c r="B246" s="59" t="s">
        <v>81</v>
      </c>
      <c r="C246" s="59">
        <f>'N+2 '!P245</f>
        <v>0</v>
      </c>
      <c r="D246" s="59">
        <f t="shared" ref="D246:N246" si="133">C245</f>
        <v>-5157.3756032000001</v>
      </c>
      <c r="E246" s="59">
        <f t="shared" si="133"/>
        <v>-677.37560319999989</v>
      </c>
      <c r="F246" s="59">
        <f t="shared" si="133"/>
        <v>-677.37560319999989</v>
      </c>
      <c r="G246" s="59">
        <f t="shared" si="133"/>
        <v>-677.37560319999989</v>
      </c>
      <c r="H246" s="59">
        <f t="shared" si="133"/>
        <v>-677.37560319999989</v>
      </c>
      <c r="I246" s="59">
        <f t="shared" si="133"/>
        <v>-677.37560319999989</v>
      </c>
      <c r="J246" s="59">
        <f t="shared" si="133"/>
        <v>-677.37560319999989</v>
      </c>
      <c r="K246" s="59">
        <f t="shared" si="133"/>
        <v>-677.37560319999989</v>
      </c>
      <c r="L246" s="59">
        <f t="shared" si="133"/>
        <v>-677.37560319999989</v>
      </c>
      <c r="M246" s="59">
        <f t="shared" si="133"/>
        <v>-677.37560319999989</v>
      </c>
      <c r="N246" s="59">
        <f t="shared" si="133"/>
        <v>-677.37560319999989</v>
      </c>
      <c r="O246" s="60" t="s">
        <v>119</v>
      </c>
      <c r="P246" s="61">
        <f>N245</f>
        <v>-677.37560319999989</v>
      </c>
    </row>
    <row r="247" spans="2:27" x14ac:dyDescent="0.25">
      <c r="B247" s="20"/>
      <c r="C247" s="20"/>
      <c r="D247" s="20"/>
      <c r="E247" s="20"/>
      <c r="F247" s="20"/>
      <c r="G247" s="20"/>
      <c r="H247" s="20"/>
      <c r="I247" s="20"/>
      <c r="J247" s="20"/>
      <c r="K247" s="20"/>
      <c r="L247" s="20"/>
      <c r="M247" s="20"/>
      <c r="N247" s="20"/>
      <c r="O247" s="20"/>
      <c r="P247" s="20"/>
    </row>
    <row r="248" spans="2:27" x14ac:dyDescent="0.25">
      <c r="B248" s="20"/>
      <c r="C248" s="20"/>
      <c r="D248" s="20"/>
      <c r="E248" s="20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</row>
    <row r="249" spans="2:27" x14ac:dyDescent="0.25">
      <c r="B249" s="36" t="s">
        <v>163</v>
      </c>
      <c r="C249" s="36"/>
      <c r="D249" s="36"/>
      <c r="E249" s="36"/>
      <c r="F249" s="36"/>
      <c r="G249" s="36"/>
      <c r="H249" s="36"/>
      <c r="I249" s="36"/>
      <c r="J249" s="36"/>
      <c r="K249" s="36"/>
      <c r="L249" s="36"/>
      <c r="M249" s="36"/>
      <c r="N249" s="36"/>
      <c r="O249" s="36"/>
      <c r="P249" s="36"/>
      <c r="S249" s="269" t="s">
        <v>215</v>
      </c>
      <c r="T249" s="270"/>
      <c r="V249" s="285" t="s">
        <v>88</v>
      </c>
      <c r="W249" s="285"/>
      <c r="X249" s="285"/>
      <c r="Y249" s="285"/>
      <c r="Z249" s="285"/>
      <c r="AA249" s="285"/>
    </row>
    <row r="250" spans="2:27" x14ac:dyDescent="0.25">
      <c r="B250" s="213"/>
      <c r="C250" s="215" t="s">
        <v>50</v>
      </c>
      <c r="D250" s="215" t="s">
        <v>51</v>
      </c>
      <c r="E250" s="215" t="s">
        <v>52</v>
      </c>
      <c r="F250" s="215" t="s">
        <v>53</v>
      </c>
      <c r="G250" s="215" t="s">
        <v>54</v>
      </c>
      <c r="H250" s="215" t="s">
        <v>55</v>
      </c>
      <c r="I250" s="215" t="s">
        <v>56</v>
      </c>
      <c r="J250" s="215" t="s">
        <v>57</v>
      </c>
      <c r="K250" s="215" t="s">
        <v>58</v>
      </c>
      <c r="L250" s="215" t="s">
        <v>59</v>
      </c>
      <c r="M250" s="215" t="s">
        <v>60</v>
      </c>
      <c r="N250" s="215" t="s">
        <v>61</v>
      </c>
      <c r="O250" s="220" t="s">
        <v>62</v>
      </c>
      <c r="P250" s="221"/>
      <c r="S250" s="8" t="s">
        <v>1</v>
      </c>
      <c r="T250" s="9">
        <f>P185</f>
        <v>67511.308799999999</v>
      </c>
      <c r="V250" s="97" t="s">
        <v>2</v>
      </c>
      <c r="W250" s="98" t="s">
        <v>3</v>
      </c>
      <c r="X250" s="98" t="s">
        <v>4</v>
      </c>
      <c r="Y250" s="98" t="s">
        <v>5</v>
      </c>
      <c r="Z250" s="99" t="s">
        <v>6</v>
      </c>
      <c r="AA250" s="100" t="s">
        <v>5</v>
      </c>
    </row>
    <row r="251" spans="2:27" x14ac:dyDescent="0.25">
      <c r="B251" s="214"/>
      <c r="C251" s="216"/>
      <c r="D251" s="216"/>
      <c r="E251" s="216"/>
      <c r="F251" s="216"/>
      <c r="G251" s="216"/>
      <c r="H251" s="216"/>
      <c r="I251" s="216"/>
      <c r="J251" s="216"/>
      <c r="K251" s="216"/>
      <c r="L251" s="216"/>
      <c r="M251" s="216"/>
      <c r="N251" s="216"/>
      <c r="O251" s="58" t="s">
        <v>64</v>
      </c>
      <c r="P251" s="58" t="s">
        <v>65</v>
      </c>
      <c r="S251" s="8" t="s">
        <v>67</v>
      </c>
      <c r="T251" s="9">
        <v>0</v>
      </c>
      <c r="V251" s="101" t="s">
        <v>8</v>
      </c>
      <c r="W251" s="101">
        <f>SUM(W252:W255)</f>
        <v>275900</v>
      </c>
      <c r="X251" s="101">
        <f>SUM(X252:X253)</f>
        <v>77134.523809523816</v>
      </c>
      <c r="Y251" s="101">
        <f>SUM(Y252:Y253)</f>
        <v>198765.47619047615</v>
      </c>
      <c r="Z251" s="101" t="s">
        <v>9</v>
      </c>
      <c r="AA251" s="65">
        <f>SUM(AA252:AA255)</f>
        <v>-1349139.7837348571</v>
      </c>
    </row>
    <row r="252" spans="2:27" ht="30" x14ac:dyDescent="0.25">
      <c r="B252" s="35" t="s">
        <v>121</v>
      </c>
      <c r="C252" s="35">
        <f t="shared" ref="C252:N252" si="134">C188</f>
        <v>6491.4720000000007</v>
      </c>
      <c r="D252" s="35">
        <f t="shared" si="134"/>
        <v>6751.1308799999997</v>
      </c>
      <c r="E252" s="35">
        <f t="shared" si="134"/>
        <v>6751.1308799999997</v>
      </c>
      <c r="F252" s="35">
        <f t="shared" si="134"/>
        <v>6751.1308799999997</v>
      </c>
      <c r="G252" s="35">
        <f t="shared" si="134"/>
        <v>6751.1308799999997</v>
      </c>
      <c r="H252" s="35">
        <f t="shared" si="134"/>
        <v>6751.1308799999997</v>
      </c>
      <c r="I252" s="35">
        <f t="shared" si="134"/>
        <v>6751.1308799999997</v>
      </c>
      <c r="J252" s="43">
        <f t="shared" si="134"/>
        <v>6751.1308799999997</v>
      </c>
      <c r="K252" s="35">
        <f t="shared" si="134"/>
        <v>6751.1308799999997</v>
      </c>
      <c r="L252" s="35">
        <f t="shared" si="134"/>
        <v>6751.1308799999997</v>
      </c>
      <c r="M252" s="35">
        <f t="shared" si="134"/>
        <v>6751.1308799999997</v>
      </c>
      <c r="N252" s="35">
        <f t="shared" si="134"/>
        <v>6751.1308799999997</v>
      </c>
      <c r="O252" s="34"/>
      <c r="P252" s="34"/>
      <c r="S252" s="33" t="s">
        <v>10</v>
      </c>
      <c r="T252" s="49">
        <f>T250+T251</f>
        <v>67511.308799999999</v>
      </c>
      <c r="V252" s="102" t="s">
        <v>11</v>
      </c>
      <c r="W252" s="102">
        <f>'Bilan et CDR N+3'!G7</f>
        <v>176000</v>
      </c>
      <c r="X252" s="102">
        <f>'Bilan et CDR N+3'!H7</f>
        <v>27908.956386292837</v>
      </c>
      <c r="Y252" s="102">
        <f>W252-X252</f>
        <v>148091.04361370715</v>
      </c>
      <c r="Z252" s="102" t="s">
        <v>12</v>
      </c>
      <c r="AA252" s="64">
        <v>80000</v>
      </c>
    </row>
    <row r="253" spans="2:27" x14ac:dyDescent="0.25">
      <c r="B253" s="34" t="s">
        <v>122</v>
      </c>
      <c r="C253" s="34"/>
      <c r="D253" s="34"/>
      <c r="E253" s="34"/>
      <c r="F253" s="34"/>
      <c r="G253" s="34"/>
      <c r="H253" s="34"/>
      <c r="I253" s="34"/>
      <c r="J253" s="34"/>
      <c r="K253" s="34"/>
      <c r="L253" s="34"/>
      <c r="M253" s="34"/>
      <c r="N253" s="34"/>
      <c r="O253" s="34"/>
      <c r="P253" s="34"/>
      <c r="S253" s="8" t="s">
        <v>70</v>
      </c>
      <c r="T253" s="9">
        <f>P194</f>
        <v>22953.844991999998</v>
      </c>
      <c r="V253" s="102" t="s">
        <v>14</v>
      </c>
      <c r="W253" s="102">
        <f>'Bilan et CDR N+3'!G8</f>
        <v>99900</v>
      </c>
      <c r="X253" s="102">
        <f>'Bilan et CDR N+3'!H8</f>
        <v>49225.567423230983</v>
      </c>
      <c r="Y253" s="102">
        <f>W253-X253</f>
        <v>50674.432576769017</v>
      </c>
      <c r="Z253" s="102" t="s">
        <v>15</v>
      </c>
      <c r="AA253" s="64">
        <v>5000</v>
      </c>
    </row>
    <row r="254" spans="2:27" x14ac:dyDescent="0.25">
      <c r="B254" s="34" t="s">
        <v>123</v>
      </c>
      <c r="C254" s="34">
        <f t="shared" ref="C254:N254" si="135">C253+C252</f>
        <v>6491.4720000000007</v>
      </c>
      <c r="D254" s="34">
        <f t="shared" si="135"/>
        <v>6751.1308799999997</v>
      </c>
      <c r="E254" s="34">
        <f t="shared" si="135"/>
        <v>6751.1308799999997</v>
      </c>
      <c r="F254" s="34">
        <f t="shared" si="135"/>
        <v>6751.1308799999997</v>
      </c>
      <c r="G254" s="34">
        <f t="shared" si="135"/>
        <v>6751.1308799999997</v>
      </c>
      <c r="H254" s="34">
        <f t="shared" si="135"/>
        <v>6751.1308799999997</v>
      </c>
      <c r="I254" s="34">
        <f t="shared" si="135"/>
        <v>6751.1308799999997</v>
      </c>
      <c r="J254" s="34">
        <f t="shared" si="135"/>
        <v>6751.1308799999997</v>
      </c>
      <c r="K254" s="34">
        <f t="shared" si="135"/>
        <v>6751.1308799999997</v>
      </c>
      <c r="L254" s="34">
        <f t="shared" si="135"/>
        <v>6751.1308799999997</v>
      </c>
      <c r="M254" s="34">
        <f t="shared" si="135"/>
        <v>6751.1308799999997</v>
      </c>
      <c r="N254" s="34">
        <f t="shared" si="135"/>
        <v>6751.1308799999997</v>
      </c>
      <c r="O254" s="34"/>
      <c r="P254" s="34"/>
      <c r="S254" s="8" t="s">
        <v>73</v>
      </c>
      <c r="T254" s="9">
        <f>P203</f>
        <v>85200</v>
      </c>
      <c r="V254" s="101"/>
      <c r="W254" s="101"/>
      <c r="X254" s="101"/>
      <c r="Y254" s="101"/>
      <c r="Z254" s="102" t="s">
        <v>17</v>
      </c>
      <c r="AA254" s="64">
        <f>AA163+AA164</f>
        <v>-940882.9618285714</v>
      </c>
    </row>
    <row r="255" spans="2:27" x14ac:dyDescent="0.25">
      <c r="B255" s="59" t="s">
        <v>124</v>
      </c>
      <c r="C255" s="59">
        <f t="shared" ref="C255:N255" si="136">C197</f>
        <v>2295.3844991999999</v>
      </c>
      <c r="D255" s="59">
        <f t="shared" si="136"/>
        <v>2295.3844991999999</v>
      </c>
      <c r="E255" s="59">
        <f t="shared" si="136"/>
        <v>2295.3844991999999</v>
      </c>
      <c r="F255" s="59">
        <f t="shared" si="136"/>
        <v>2295.3844991999999</v>
      </c>
      <c r="G255" s="59">
        <f t="shared" si="136"/>
        <v>2295.3844991999999</v>
      </c>
      <c r="H255" s="59">
        <f t="shared" si="136"/>
        <v>2295.3844991999999</v>
      </c>
      <c r="I255" s="59">
        <f t="shared" si="136"/>
        <v>2295.3844991999999</v>
      </c>
      <c r="J255" s="59">
        <f t="shared" si="136"/>
        <v>2295.3844991999999</v>
      </c>
      <c r="K255" s="59">
        <f t="shared" si="136"/>
        <v>2295.3844991999999</v>
      </c>
      <c r="L255" s="59">
        <f t="shared" si="136"/>
        <v>2295.3844991999999</v>
      </c>
      <c r="M255" s="59">
        <f t="shared" si="136"/>
        <v>2295.3844991999999</v>
      </c>
      <c r="N255" s="59">
        <f t="shared" si="136"/>
        <v>2295.3844991999999</v>
      </c>
      <c r="O255" s="34"/>
      <c r="P255" s="34"/>
      <c r="S255" s="8" t="s">
        <v>18</v>
      </c>
      <c r="T255" s="9">
        <f>P221</f>
        <v>8200</v>
      </c>
      <c r="V255" s="102"/>
      <c r="W255" s="102"/>
      <c r="X255" s="102"/>
      <c r="Y255" s="102"/>
      <c r="Z255" s="102" t="s">
        <v>19</v>
      </c>
      <c r="AA255" s="64">
        <f>T267</f>
        <v>-493256.82190628571</v>
      </c>
    </row>
    <row r="256" spans="2:27" x14ac:dyDescent="0.25">
      <c r="B256" s="39" t="s">
        <v>125</v>
      </c>
      <c r="C256" s="41"/>
      <c r="D256" s="41"/>
      <c r="E256" s="41"/>
      <c r="F256" s="41"/>
      <c r="G256" s="41"/>
      <c r="H256" s="41"/>
      <c r="I256" s="41"/>
      <c r="J256" s="41"/>
      <c r="K256" s="41"/>
      <c r="L256" s="41"/>
      <c r="M256" s="41"/>
      <c r="N256" s="41"/>
      <c r="O256" s="34"/>
      <c r="P256" s="34"/>
      <c r="S256" s="8" t="s">
        <v>20</v>
      </c>
      <c r="T256" s="9">
        <f>P213</f>
        <v>307500</v>
      </c>
      <c r="V256" s="103"/>
      <c r="W256" s="104"/>
      <c r="X256" s="19"/>
      <c r="Y256" s="104"/>
      <c r="Z256" s="64"/>
      <c r="AA256" s="65"/>
    </row>
    <row r="257" spans="2:27" x14ac:dyDescent="0.25">
      <c r="B257" s="39" t="s">
        <v>126</v>
      </c>
      <c r="C257" s="41">
        <f t="shared" ref="C257:N257" si="137">C213</f>
        <v>25625</v>
      </c>
      <c r="D257" s="41">
        <f t="shared" si="137"/>
        <v>25625</v>
      </c>
      <c r="E257" s="41">
        <f t="shared" si="137"/>
        <v>25625</v>
      </c>
      <c r="F257" s="41">
        <f t="shared" si="137"/>
        <v>25625</v>
      </c>
      <c r="G257" s="41">
        <f t="shared" si="137"/>
        <v>25625</v>
      </c>
      <c r="H257" s="41">
        <f t="shared" si="137"/>
        <v>25625</v>
      </c>
      <c r="I257" s="41">
        <f t="shared" si="137"/>
        <v>25625</v>
      </c>
      <c r="J257" s="41">
        <f t="shared" si="137"/>
        <v>25625</v>
      </c>
      <c r="K257" s="41">
        <f t="shared" si="137"/>
        <v>25625</v>
      </c>
      <c r="L257" s="41">
        <f t="shared" si="137"/>
        <v>25625</v>
      </c>
      <c r="M257" s="41">
        <f t="shared" si="137"/>
        <v>25625</v>
      </c>
      <c r="N257" s="41">
        <f t="shared" si="137"/>
        <v>25625</v>
      </c>
      <c r="O257" s="34"/>
      <c r="P257" s="34"/>
      <c r="S257" s="8" t="s">
        <v>21</v>
      </c>
      <c r="T257" s="9">
        <f>P214</f>
        <v>123000</v>
      </c>
      <c r="V257" s="101" t="s">
        <v>22</v>
      </c>
      <c r="W257" s="101">
        <f>SUM(W258:W260)</f>
        <v>-1518686.0420351988</v>
      </c>
      <c r="X257" s="101">
        <f>SUM(X258:X260)</f>
        <v>0</v>
      </c>
      <c r="Y257" s="101">
        <f>SUM(Y258:Y260)</f>
        <v>-1518686.0420351988</v>
      </c>
      <c r="Z257" s="101" t="s">
        <v>23</v>
      </c>
      <c r="AA257" s="65">
        <f>SUM(AA258:AA261)</f>
        <v>9572.6243967999999</v>
      </c>
    </row>
    <row r="258" spans="2:27" ht="30" x14ac:dyDescent="0.25">
      <c r="B258" s="35" t="s">
        <v>21</v>
      </c>
      <c r="C258" s="35">
        <f t="shared" ref="C258:N258" si="138">C215</f>
        <v>0</v>
      </c>
      <c r="D258" s="35">
        <f t="shared" si="138"/>
        <v>10250</v>
      </c>
      <c r="E258" s="35">
        <f t="shared" si="138"/>
        <v>10250</v>
      </c>
      <c r="F258" s="35">
        <f t="shared" si="138"/>
        <v>10250</v>
      </c>
      <c r="G258" s="35">
        <f t="shared" si="138"/>
        <v>10250</v>
      </c>
      <c r="H258" s="35">
        <f t="shared" si="138"/>
        <v>10250</v>
      </c>
      <c r="I258" s="35">
        <f t="shared" si="138"/>
        <v>10250</v>
      </c>
      <c r="J258" s="35">
        <f t="shared" si="138"/>
        <v>10250</v>
      </c>
      <c r="K258" s="35">
        <f t="shared" si="138"/>
        <v>10250</v>
      </c>
      <c r="L258" s="35">
        <f t="shared" si="138"/>
        <v>10250</v>
      </c>
      <c r="M258" s="35">
        <f t="shared" si="138"/>
        <v>10250</v>
      </c>
      <c r="N258" s="35">
        <f t="shared" si="138"/>
        <v>10250</v>
      </c>
      <c r="O258" s="34"/>
      <c r="P258" s="34"/>
      <c r="S258" s="8" t="s">
        <v>75</v>
      </c>
      <c r="T258" s="9">
        <f>P211</f>
        <v>13914.285714285714</v>
      </c>
      <c r="V258" s="102" t="s">
        <v>25</v>
      </c>
      <c r="W258" s="102">
        <v>15000</v>
      </c>
      <c r="X258" s="102"/>
      <c r="Y258" s="102">
        <f>W258-X258</f>
        <v>15000</v>
      </c>
      <c r="Z258" s="102" t="s">
        <v>26</v>
      </c>
      <c r="AA258" s="64">
        <f>0</f>
        <v>0</v>
      </c>
    </row>
    <row r="259" spans="2:27" x14ac:dyDescent="0.25">
      <c r="B259" s="34" t="s">
        <v>102</v>
      </c>
      <c r="C259" s="34">
        <f t="shared" ref="C259:N259" si="139">C222</f>
        <v>0</v>
      </c>
      <c r="D259" s="34">
        <f t="shared" si="139"/>
        <v>0</v>
      </c>
      <c r="E259" s="34">
        <f t="shared" si="139"/>
        <v>0</v>
      </c>
      <c r="F259" s="34">
        <f t="shared" si="139"/>
        <v>0</v>
      </c>
      <c r="G259" s="34">
        <f t="shared" si="139"/>
        <v>0</v>
      </c>
      <c r="H259" s="34">
        <f t="shared" si="139"/>
        <v>0</v>
      </c>
      <c r="I259" s="34">
        <f t="shared" si="139"/>
        <v>0</v>
      </c>
      <c r="J259" s="34">
        <f t="shared" si="139"/>
        <v>0</v>
      </c>
      <c r="K259" s="34">
        <f t="shared" si="139"/>
        <v>0</v>
      </c>
      <c r="L259" s="34">
        <f t="shared" si="139"/>
        <v>8200</v>
      </c>
      <c r="M259" s="34">
        <f t="shared" si="139"/>
        <v>0</v>
      </c>
      <c r="N259" s="34">
        <f t="shared" si="139"/>
        <v>0</v>
      </c>
      <c r="O259" s="34"/>
      <c r="P259" s="34"/>
      <c r="S259" s="33" t="s">
        <v>76</v>
      </c>
      <c r="T259" s="49">
        <f>SUM(T253:T258)</f>
        <v>560768.13070628571</v>
      </c>
      <c r="V259" s="102" t="s">
        <v>28</v>
      </c>
      <c r="W259" s="102">
        <f>P188</f>
        <v>6751.1308799999997</v>
      </c>
      <c r="X259" s="102"/>
      <c r="Y259" s="102">
        <f>W259-X259</f>
        <v>6751.1308799999997</v>
      </c>
      <c r="Z259" s="102" t="s">
        <v>29</v>
      </c>
      <c r="AA259" s="64">
        <v>0</v>
      </c>
    </row>
    <row r="260" spans="2:27" x14ac:dyDescent="0.25">
      <c r="B260" s="34" t="s">
        <v>127</v>
      </c>
      <c r="C260" s="34">
        <f t="shared" ref="C260:N260" si="140">C206</f>
        <v>8520</v>
      </c>
      <c r="D260" s="34">
        <f t="shared" si="140"/>
        <v>8520</v>
      </c>
      <c r="E260" s="34">
        <f t="shared" si="140"/>
        <v>8520</v>
      </c>
      <c r="F260" s="34">
        <f t="shared" si="140"/>
        <v>8520</v>
      </c>
      <c r="G260" s="34">
        <f t="shared" si="140"/>
        <v>8520</v>
      </c>
      <c r="H260" s="34">
        <f t="shared" si="140"/>
        <v>8520</v>
      </c>
      <c r="I260" s="34">
        <f t="shared" si="140"/>
        <v>8520</v>
      </c>
      <c r="J260" s="34">
        <f t="shared" si="140"/>
        <v>8520</v>
      </c>
      <c r="K260" s="34">
        <f t="shared" si="140"/>
        <v>8520</v>
      </c>
      <c r="L260" s="34">
        <f t="shared" si="140"/>
        <v>8520</v>
      </c>
      <c r="M260" s="34">
        <f t="shared" si="140"/>
        <v>8520</v>
      </c>
      <c r="N260" s="34">
        <f t="shared" si="140"/>
        <v>8520</v>
      </c>
      <c r="O260" s="34"/>
      <c r="P260" s="34"/>
      <c r="S260" s="10" t="s">
        <v>30</v>
      </c>
      <c r="T260" s="16">
        <f>T252-T259</f>
        <v>-493256.82190628571</v>
      </c>
      <c r="V260" s="102" t="s">
        <v>34</v>
      </c>
      <c r="W260" s="102">
        <f>N267</f>
        <v>-1540437.1729151988</v>
      </c>
      <c r="X260" s="102"/>
      <c r="Y260" s="102">
        <f>W260-X260</f>
        <v>-1540437.1729151988</v>
      </c>
      <c r="Z260" s="102" t="s">
        <v>32</v>
      </c>
      <c r="AA260" s="64">
        <f>P246+P215</f>
        <v>9572.6243967999999</v>
      </c>
    </row>
    <row r="261" spans="2:27" x14ac:dyDescent="0.25">
      <c r="B261" s="59" t="s">
        <v>128</v>
      </c>
      <c r="C261" s="59">
        <f t="shared" ref="C261:N261" si="141">C225</f>
        <v>0</v>
      </c>
      <c r="D261" s="59">
        <f t="shared" si="141"/>
        <v>0</v>
      </c>
      <c r="E261" s="59">
        <f t="shared" si="141"/>
        <v>0</v>
      </c>
      <c r="F261" s="59">
        <f t="shared" si="141"/>
        <v>0</v>
      </c>
      <c r="G261" s="59">
        <f t="shared" si="141"/>
        <v>0</v>
      </c>
      <c r="H261" s="59">
        <f t="shared" si="141"/>
        <v>0</v>
      </c>
      <c r="I261" s="59">
        <f t="shared" si="141"/>
        <v>0</v>
      </c>
      <c r="J261" s="59">
        <f t="shared" si="141"/>
        <v>0</v>
      </c>
      <c r="K261" s="59">
        <f t="shared" si="141"/>
        <v>0</v>
      </c>
      <c r="L261" s="59">
        <f t="shared" si="141"/>
        <v>0</v>
      </c>
      <c r="M261" s="59">
        <f t="shared" si="141"/>
        <v>0</v>
      </c>
      <c r="N261" s="59">
        <f t="shared" si="141"/>
        <v>0</v>
      </c>
      <c r="O261" s="34"/>
      <c r="P261" s="34"/>
      <c r="S261" s="33" t="s">
        <v>33</v>
      </c>
      <c r="T261" s="49">
        <v>0</v>
      </c>
      <c r="V261" s="102"/>
      <c r="W261" s="102"/>
      <c r="X261" s="102"/>
      <c r="Y261" s="102"/>
      <c r="Z261" s="102"/>
      <c r="AA261" s="64"/>
    </row>
    <row r="262" spans="2:27" x14ac:dyDescent="0.25">
      <c r="B262" s="38" t="s">
        <v>129</v>
      </c>
      <c r="C262" s="40">
        <f t="shared" ref="C262:N262" si="142">C233</f>
        <v>26880</v>
      </c>
      <c r="D262" s="40">
        <f t="shared" si="142"/>
        <v>0</v>
      </c>
      <c r="E262" s="40">
        <f t="shared" si="142"/>
        <v>0</v>
      </c>
      <c r="F262" s="40">
        <f t="shared" si="142"/>
        <v>0</v>
      </c>
      <c r="G262" s="40">
        <f t="shared" si="142"/>
        <v>0</v>
      </c>
      <c r="H262" s="40">
        <f t="shared" si="142"/>
        <v>0</v>
      </c>
      <c r="I262" s="40">
        <f t="shared" si="142"/>
        <v>0</v>
      </c>
      <c r="J262" s="40">
        <f t="shared" si="142"/>
        <v>0</v>
      </c>
      <c r="K262" s="40">
        <f t="shared" si="142"/>
        <v>0</v>
      </c>
      <c r="L262" s="40">
        <f t="shared" si="142"/>
        <v>0</v>
      </c>
      <c r="M262" s="40">
        <f t="shared" si="142"/>
        <v>0</v>
      </c>
      <c r="N262" s="40">
        <f t="shared" si="142"/>
        <v>0</v>
      </c>
      <c r="O262" s="34"/>
      <c r="P262" s="34"/>
      <c r="S262" s="8" t="s">
        <v>36</v>
      </c>
      <c r="T262" s="9">
        <f>'Budget Prev 3 années SANS PRECO'!W288</f>
        <v>0</v>
      </c>
      <c r="V262" s="105" t="s">
        <v>38</v>
      </c>
      <c r="W262" s="105">
        <f>W251+W257</f>
        <v>-1242786.0420351988</v>
      </c>
      <c r="X262" s="105">
        <f>X251</f>
        <v>77134.523809523816</v>
      </c>
      <c r="Y262" s="105">
        <f>W262-X262</f>
        <v>-1319920.5658447226</v>
      </c>
      <c r="Z262" s="105" t="s">
        <v>39</v>
      </c>
      <c r="AA262" s="106">
        <f>AA251+AA257</f>
        <v>-1339567.159338057</v>
      </c>
    </row>
    <row r="263" spans="2:27" x14ac:dyDescent="0.25">
      <c r="B263" s="38" t="s">
        <v>130</v>
      </c>
      <c r="C263" s="40">
        <f t="shared" ref="C263:N263" si="143">C246</f>
        <v>0</v>
      </c>
      <c r="D263" s="40">
        <f t="shared" si="143"/>
        <v>-5157.3756032000001</v>
      </c>
      <c r="E263" s="40">
        <f t="shared" si="143"/>
        <v>-677.37560319999989</v>
      </c>
      <c r="F263" s="40">
        <f t="shared" si="143"/>
        <v>-677.37560319999989</v>
      </c>
      <c r="G263" s="40">
        <f t="shared" si="143"/>
        <v>-677.37560319999989</v>
      </c>
      <c r="H263" s="40">
        <f t="shared" si="143"/>
        <v>-677.37560319999989</v>
      </c>
      <c r="I263" s="40">
        <f t="shared" si="143"/>
        <v>-677.37560319999989</v>
      </c>
      <c r="J263" s="40">
        <f t="shared" si="143"/>
        <v>-677.37560319999989</v>
      </c>
      <c r="K263" s="40">
        <f t="shared" si="143"/>
        <v>-677.37560319999989</v>
      </c>
      <c r="L263" s="40">
        <f t="shared" si="143"/>
        <v>-677.37560319999989</v>
      </c>
      <c r="M263" s="40">
        <f t="shared" si="143"/>
        <v>-677.37560319999989</v>
      </c>
      <c r="N263" s="40">
        <f t="shared" si="143"/>
        <v>-677.37560319999989</v>
      </c>
      <c r="O263" s="34"/>
      <c r="P263" s="34"/>
      <c r="S263" s="33" t="s">
        <v>37</v>
      </c>
      <c r="T263" s="49">
        <f>T262</f>
        <v>0</v>
      </c>
      <c r="Z263" s="7" t="s">
        <v>42</v>
      </c>
      <c r="AA263" s="14">
        <f>Y262-AA262</f>
        <v>19646.593493334483</v>
      </c>
    </row>
    <row r="264" spans="2:27" x14ac:dyDescent="0.25">
      <c r="B264" s="59" t="s">
        <v>131</v>
      </c>
      <c r="C264" s="59">
        <f t="shared" ref="C264:N264" si="144">SUM(C255:C263)</f>
        <v>63320.384499200001</v>
      </c>
      <c r="D264" s="59">
        <f t="shared" si="144"/>
        <v>41533.008895999999</v>
      </c>
      <c r="E264" s="59">
        <f t="shared" si="144"/>
        <v>46013.008895999999</v>
      </c>
      <c r="F264" s="59">
        <f t="shared" si="144"/>
        <v>46013.008895999999</v>
      </c>
      <c r="G264" s="59">
        <f t="shared" si="144"/>
        <v>46013.008895999999</v>
      </c>
      <c r="H264" s="59">
        <f t="shared" si="144"/>
        <v>46013.008895999999</v>
      </c>
      <c r="I264" s="59">
        <f t="shared" si="144"/>
        <v>46013.008895999999</v>
      </c>
      <c r="J264" s="59">
        <f t="shared" si="144"/>
        <v>46013.008895999999</v>
      </c>
      <c r="K264" s="59">
        <f t="shared" si="144"/>
        <v>46013.008895999999</v>
      </c>
      <c r="L264" s="59">
        <f t="shared" si="144"/>
        <v>54213.008895999999</v>
      </c>
      <c r="M264" s="59">
        <f t="shared" si="144"/>
        <v>46013.008895999999</v>
      </c>
      <c r="N264" s="59">
        <f t="shared" si="144"/>
        <v>46013.008895999999</v>
      </c>
      <c r="O264" s="34"/>
      <c r="P264" s="34"/>
      <c r="S264" s="10" t="s">
        <v>40</v>
      </c>
      <c r="T264" s="16">
        <f>T261-T263</f>
        <v>0</v>
      </c>
    </row>
    <row r="265" spans="2:27" x14ac:dyDescent="0.25">
      <c r="B265" s="59" t="s">
        <v>132</v>
      </c>
      <c r="C265" s="59">
        <f>N176</f>
        <v>-1048007.6022399997</v>
      </c>
      <c r="D265" s="59">
        <f t="shared" ref="D265:N265" si="145">C267</f>
        <v>-1104836.5147391998</v>
      </c>
      <c r="E265" s="59">
        <f t="shared" si="145"/>
        <v>-1139618.3927551997</v>
      </c>
      <c r="F265" s="59">
        <f t="shared" si="145"/>
        <v>-1178880.2707711996</v>
      </c>
      <c r="G265" s="59">
        <f t="shared" si="145"/>
        <v>-1218142.1487871995</v>
      </c>
      <c r="H265" s="59">
        <f t="shared" si="145"/>
        <v>-1257404.0268031994</v>
      </c>
      <c r="I265" s="59">
        <f t="shared" si="145"/>
        <v>-1296665.9048191993</v>
      </c>
      <c r="J265" s="59">
        <f t="shared" si="145"/>
        <v>-1335927.7828351993</v>
      </c>
      <c r="K265" s="59">
        <f t="shared" si="145"/>
        <v>-1375189.6608511992</v>
      </c>
      <c r="L265" s="59">
        <f t="shared" si="145"/>
        <v>-1414451.5388671991</v>
      </c>
      <c r="M265" s="59">
        <f t="shared" si="145"/>
        <v>-1461913.416883199</v>
      </c>
      <c r="N265" s="59">
        <f t="shared" si="145"/>
        <v>-1501175.2948991989</v>
      </c>
      <c r="O265" s="34"/>
      <c r="P265" s="34"/>
      <c r="S265" s="10" t="s">
        <v>43</v>
      </c>
      <c r="T265" s="16">
        <f>T260-(-T264)</f>
        <v>-493256.82190628571</v>
      </c>
    </row>
    <row r="266" spans="2:27" x14ac:dyDescent="0.25">
      <c r="B266" s="34" t="s">
        <v>133</v>
      </c>
      <c r="C266" s="34">
        <f t="shared" ref="C266:N266" si="146">C254-C264</f>
        <v>-56828.9124992</v>
      </c>
      <c r="D266" s="34">
        <f t="shared" si="146"/>
        <v>-34781.878016000002</v>
      </c>
      <c r="E266" s="34">
        <f t="shared" si="146"/>
        <v>-39261.878016000002</v>
      </c>
      <c r="F266" s="34">
        <f t="shared" si="146"/>
        <v>-39261.878016000002</v>
      </c>
      <c r="G266" s="34">
        <f t="shared" si="146"/>
        <v>-39261.878016000002</v>
      </c>
      <c r="H266" s="34">
        <f t="shared" si="146"/>
        <v>-39261.878016000002</v>
      </c>
      <c r="I266" s="34">
        <f t="shared" si="146"/>
        <v>-39261.878016000002</v>
      </c>
      <c r="J266" s="34">
        <f t="shared" si="146"/>
        <v>-39261.878016000002</v>
      </c>
      <c r="K266" s="34">
        <f t="shared" si="146"/>
        <v>-39261.878016000002</v>
      </c>
      <c r="L266" s="34">
        <f t="shared" si="146"/>
        <v>-47461.878016000002</v>
      </c>
      <c r="M266" s="34">
        <f t="shared" si="146"/>
        <v>-39261.878016000002</v>
      </c>
      <c r="N266" s="34">
        <f t="shared" si="146"/>
        <v>-39261.878016000002</v>
      </c>
      <c r="O266" s="34"/>
      <c r="P266" s="34"/>
      <c r="S266" s="10" t="s">
        <v>216</v>
      </c>
      <c r="T266" s="9"/>
    </row>
    <row r="267" spans="2:27" x14ac:dyDescent="0.25">
      <c r="B267" s="59" t="s">
        <v>134</v>
      </c>
      <c r="C267" s="59">
        <f t="shared" ref="C267:N267" si="147">C265+C266</f>
        <v>-1104836.5147391998</v>
      </c>
      <c r="D267" s="59">
        <f t="shared" si="147"/>
        <v>-1139618.3927551997</v>
      </c>
      <c r="E267" s="59">
        <f t="shared" si="147"/>
        <v>-1178880.2707711996</v>
      </c>
      <c r="F267" s="59">
        <f t="shared" si="147"/>
        <v>-1218142.1487871995</v>
      </c>
      <c r="G267" s="59">
        <f t="shared" si="147"/>
        <v>-1257404.0268031994</v>
      </c>
      <c r="H267" s="59">
        <f t="shared" si="147"/>
        <v>-1296665.9048191993</v>
      </c>
      <c r="I267" s="59">
        <f t="shared" si="147"/>
        <v>-1335927.7828351993</v>
      </c>
      <c r="J267" s="59">
        <f t="shared" si="147"/>
        <v>-1375189.6608511992</v>
      </c>
      <c r="K267" s="59">
        <f t="shared" si="147"/>
        <v>-1414451.5388671991</v>
      </c>
      <c r="L267" s="59">
        <f t="shared" si="147"/>
        <v>-1461913.416883199</v>
      </c>
      <c r="M267" s="59">
        <f t="shared" si="147"/>
        <v>-1501175.2948991989</v>
      </c>
      <c r="N267" s="59">
        <f t="shared" si="147"/>
        <v>-1540437.1729151988</v>
      </c>
      <c r="O267" s="60" t="s">
        <v>135</v>
      </c>
      <c r="P267" s="61">
        <f>N267</f>
        <v>-1540437.1729151988</v>
      </c>
      <c r="S267" s="77" t="s">
        <v>47</v>
      </c>
      <c r="T267" s="78">
        <f>T265</f>
        <v>-493256.82190628571</v>
      </c>
    </row>
    <row r="268" spans="2:27" x14ac:dyDescent="0.25">
      <c r="S268" s="79"/>
      <c r="T268" s="80"/>
    </row>
  </sheetData>
  <mergeCells count="359">
    <mergeCell ref="AF159:AF160"/>
    <mergeCell ref="E238:E239"/>
    <mergeCell ref="S45:S46"/>
    <mergeCell ref="T45:T46"/>
    <mergeCell ref="U45:U46"/>
    <mergeCell ref="V45:V46"/>
    <mergeCell ref="W45:W46"/>
    <mergeCell ref="X45:X46"/>
    <mergeCell ref="Y45:Y46"/>
    <mergeCell ref="Z45:Z46"/>
    <mergeCell ref="S142:S143"/>
    <mergeCell ref="T142:T143"/>
    <mergeCell ref="U142:U143"/>
    <mergeCell ref="V142:V143"/>
    <mergeCell ref="W142:W143"/>
    <mergeCell ref="X142:X143"/>
    <mergeCell ref="Y142:Y143"/>
    <mergeCell ref="Z142:Z143"/>
    <mergeCell ref="N238:N239"/>
    <mergeCell ref="B218:P218"/>
    <mergeCell ref="AB45:AB46"/>
    <mergeCell ref="AC45:AC46"/>
    <mergeCell ref="AD45:AD46"/>
    <mergeCell ref="AE45:AE46"/>
    <mergeCell ref="K250:K251"/>
    <mergeCell ref="L250:L251"/>
    <mergeCell ref="M250:M251"/>
    <mergeCell ref="N250:N251"/>
    <mergeCell ref="O250:P250"/>
    <mergeCell ref="B238:B239"/>
    <mergeCell ref="C238:C239"/>
    <mergeCell ref="AB159:AB160"/>
    <mergeCell ref="AC159:AC160"/>
    <mergeCell ref="B250:B251"/>
    <mergeCell ref="C250:C251"/>
    <mergeCell ref="D250:D251"/>
    <mergeCell ref="E250:E251"/>
    <mergeCell ref="F250:F251"/>
    <mergeCell ref="G250:G251"/>
    <mergeCell ref="H250:H251"/>
    <mergeCell ref="I250:I251"/>
    <mergeCell ref="J250:J251"/>
    <mergeCell ref="N229:N230"/>
    <mergeCell ref="B229:B230"/>
    <mergeCell ref="C229:C230"/>
    <mergeCell ref="D229:D230"/>
    <mergeCell ref="E229:E230"/>
    <mergeCell ref="L229:L230"/>
    <mergeCell ref="AD159:AD160"/>
    <mergeCell ref="AE159:AE160"/>
    <mergeCell ref="F219:F220"/>
    <mergeCell ref="G219:G220"/>
    <mergeCell ref="H219:H220"/>
    <mergeCell ref="I219:I220"/>
    <mergeCell ref="J219:J220"/>
    <mergeCell ref="D238:D239"/>
    <mergeCell ref="O238:P238"/>
    <mergeCell ref="O229:P229"/>
    <mergeCell ref="F238:F239"/>
    <mergeCell ref="G238:G239"/>
    <mergeCell ref="H238:H239"/>
    <mergeCell ref="I238:I239"/>
    <mergeCell ref="J238:J239"/>
    <mergeCell ref="K238:K239"/>
    <mergeCell ref="L238:L239"/>
    <mergeCell ref="M238:M239"/>
    <mergeCell ref="F229:F230"/>
    <mergeCell ref="G229:G230"/>
    <mergeCell ref="H229:H230"/>
    <mergeCell ref="I229:I230"/>
    <mergeCell ref="J229:J230"/>
    <mergeCell ref="K229:K230"/>
    <mergeCell ref="M229:M230"/>
    <mergeCell ref="K219:K220"/>
    <mergeCell ref="L219:L220"/>
    <mergeCell ref="M219:M220"/>
    <mergeCell ref="N219:N220"/>
    <mergeCell ref="O219:P219"/>
    <mergeCell ref="B200:P200"/>
    <mergeCell ref="B201:B202"/>
    <mergeCell ref="C201:C202"/>
    <mergeCell ref="D201:D202"/>
    <mergeCell ref="E201:E202"/>
    <mergeCell ref="F201:F202"/>
    <mergeCell ref="G201:G202"/>
    <mergeCell ref="H201:H202"/>
    <mergeCell ref="I201:I202"/>
    <mergeCell ref="J201:J202"/>
    <mergeCell ref="K201:K202"/>
    <mergeCell ref="L201:L202"/>
    <mergeCell ref="M201:M202"/>
    <mergeCell ref="N201:N202"/>
    <mergeCell ref="O201:P201"/>
    <mergeCell ref="B219:B220"/>
    <mergeCell ref="C219:C220"/>
    <mergeCell ref="D219:D220"/>
    <mergeCell ref="E219:E220"/>
    <mergeCell ref="B191:P191"/>
    <mergeCell ref="B192:B193"/>
    <mergeCell ref="C192:C193"/>
    <mergeCell ref="D192:D193"/>
    <mergeCell ref="E192:E193"/>
    <mergeCell ref="F192:F193"/>
    <mergeCell ref="G192:G193"/>
    <mergeCell ref="H192:H193"/>
    <mergeCell ref="I192:I193"/>
    <mergeCell ref="J192:J193"/>
    <mergeCell ref="K192:K193"/>
    <mergeCell ref="L192:L193"/>
    <mergeCell ref="M192:M193"/>
    <mergeCell ref="N192:N193"/>
    <mergeCell ref="O192:P192"/>
    <mergeCell ref="B182:P182"/>
    <mergeCell ref="B183:B184"/>
    <mergeCell ref="C183:C184"/>
    <mergeCell ref="D183:D184"/>
    <mergeCell ref="E183:E184"/>
    <mergeCell ref="F183:F184"/>
    <mergeCell ref="G183:G184"/>
    <mergeCell ref="H183:H184"/>
    <mergeCell ref="I183:I184"/>
    <mergeCell ref="J183:J184"/>
    <mergeCell ref="K183:K184"/>
    <mergeCell ref="L183:L184"/>
    <mergeCell ref="M183:M184"/>
    <mergeCell ref="N183:N184"/>
    <mergeCell ref="O183:P183"/>
    <mergeCell ref="K3:K4"/>
    <mergeCell ref="L3:L4"/>
    <mergeCell ref="M3:M4"/>
    <mergeCell ref="N3:N4"/>
    <mergeCell ref="O3:P3"/>
    <mergeCell ref="B11:P11"/>
    <mergeCell ref="B2:P2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N12:N13"/>
    <mergeCell ref="O12:P12"/>
    <mergeCell ref="B20:P20"/>
    <mergeCell ref="B21:B22"/>
    <mergeCell ref="C21:C22"/>
    <mergeCell ref="D21:D22"/>
    <mergeCell ref="E21:E22"/>
    <mergeCell ref="F21:F22"/>
    <mergeCell ref="G21:G22"/>
    <mergeCell ref="H21:H22"/>
    <mergeCell ref="H12:H13"/>
    <mergeCell ref="I12:I13"/>
    <mergeCell ref="J12:J13"/>
    <mergeCell ref="K12:K13"/>
    <mergeCell ref="L12:L13"/>
    <mergeCell ref="M12:M13"/>
    <mergeCell ref="B12:B13"/>
    <mergeCell ref="C12:C13"/>
    <mergeCell ref="D12:D13"/>
    <mergeCell ref="E12:E13"/>
    <mergeCell ref="F12:F13"/>
    <mergeCell ref="G12:G13"/>
    <mergeCell ref="J37:J38"/>
    <mergeCell ref="K37:K38"/>
    <mergeCell ref="L37:L38"/>
    <mergeCell ref="M37:M38"/>
    <mergeCell ref="N37:N38"/>
    <mergeCell ref="O37:P37"/>
    <mergeCell ref="O21:P21"/>
    <mergeCell ref="B36:P36"/>
    <mergeCell ref="B37:B38"/>
    <mergeCell ref="C37:C38"/>
    <mergeCell ref="D37:D38"/>
    <mergeCell ref="E37:E38"/>
    <mergeCell ref="F37:F38"/>
    <mergeCell ref="G37:G38"/>
    <mergeCell ref="H37:H38"/>
    <mergeCell ref="I37:I38"/>
    <mergeCell ref="I21:I22"/>
    <mergeCell ref="J21:J22"/>
    <mergeCell ref="K21:K22"/>
    <mergeCell ref="L21:L22"/>
    <mergeCell ref="M21:M22"/>
    <mergeCell ref="N21:N22"/>
    <mergeCell ref="K47:K48"/>
    <mergeCell ref="L47:L48"/>
    <mergeCell ref="M47:M48"/>
    <mergeCell ref="N47:N48"/>
    <mergeCell ref="O47:P47"/>
    <mergeCell ref="B47:B48"/>
    <mergeCell ref="C47:C48"/>
    <mergeCell ref="D47:D48"/>
    <mergeCell ref="E47:E48"/>
    <mergeCell ref="F47:F48"/>
    <mergeCell ref="G47:G48"/>
    <mergeCell ref="H47:H48"/>
    <mergeCell ref="I47:I48"/>
    <mergeCell ref="J47:J48"/>
    <mergeCell ref="N56:N57"/>
    <mergeCell ref="O56:P56"/>
    <mergeCell ref="B68:B69"/>
    <mergeCell ref="C68:C69"/>
    <mergeCell ref="D68:D69"/>
    <mergeCell ref="E68:E69"/>
    <mergeCell ref="F68:F69"/>
    <mergeCell ref="G68:G69"/>
    <mergeCell ref="H68:H69"/>
    <mergeCell ref="H56:H57"/>
    <mergeCell ref="I56:I57"/>
    <mergeCell ref="J56:J57"/>
    <mergeCell ref="K56:K57"/>
    <mergeCell ref="L56:L57"/>
    <mergeCell ref="M56:M57"/>
    <mergeCell ref="B56:B57"/>
    <mergeCell ref="C56:C57"/>
    <mergeCell ref="D56:D57"/>
    <mergeCell ref="E56:E57"/>
    <mergeCell ref="F56:F57"/>
    <mergeCell ref="G56:G57"/>
    <mergeCell ref="J93:J94"/>
    <mergeCell ref="K93:K94"/>
    <mergeCell ref="L93:L94"/>
    <mergeCell ref="M93:M94"/>
    <mergeCell ref="N93:N94"/>
    <mergeCell ref="O93:P93"/>
    <mergeCell ref="O68:P68"/>
    <mergeCell ref="B92:P92"/>
    <mergeCell ref="B93:B94"/>
    <mergeCell ref="C93:C94"/>
    <mergeCell ref="D93:D94"/>
    <mergeCell ref="E93:E94"/>
    <mergeCell ref="F93:F94"/>
    <mergeCell ref="G93:G94"/>
    <mergeCell ref="H93:H94"/>
    <mergeCell ref="I93:I94"/>
    <mergeCell ref="I68:I69"/>
    <mergeCell ref="J68:J69"/>
    <mergeCell ref="K68:K69"/>
    <mergeCell ref="L68:L69"/>
    <mergeCell ref="M68:M69"/>
    <mergeCell ref="N68:N69"/>
    <mergeCell ref="K102:K103"/>
    <mergeCell ref="L102:L103"/>
    <mergeCell ref="M102:M103"/>
    <mergeCell ref="N102:N103"/>
    <mergeCell ref="O102:P102"/>
    <mergeCell ref="B110:P110"/>
    <mergeCell ref="B101:P101"/>
    <mergeCell ref="B102:B103"/>
    <mergeCell ref="C102:C103"/>
    <mergeCell ref="D102:D103"/>
    <mergeCell ref="E102:E103"/>
    <mergeCell ref="F102:F103"/>
    <mergeCell ref="G102:G103"/>
    <mergeCell ref="H102:H103"/>
    <mergeCell ref="I102:I103"/>
    <mergeCell ref="J102:J103"/>
    <mergeCell ref="N111:N112"/>
    <mergeCell ref="O111:P111"/>
    <mergeCell ref="B127:P127"/>
    <mergeCell ref="B128:B129"/>
    <mergeCell ref="C128:C129"/>
    <mergeCell ref="D128:D129"/>
    <mergeCell ref="E128:E129"/>
    <mergeCell ref="F128:F129"/>
    <mergeCell ref="G128:G129"/>
    <mergeCell ref="H128:H129"/>
    <mergeCell ref="H111:H112"/>
    <mergeCell ref="I111:I112"/>
    <mergeCell ref="J111:J112"/>
    <mergeCell ref="K111:K112"/>
    <mergeCell ref="L111:L112"/>
    <mergeCell ref="M111:M112"/>
    <mergeCell ref="B111:B112"/>
    <mergeCell ref="C111:C112"/>
    <mergeCell ref="D111:D112"/>
    <mergeCell ref="E111:E112"/>
    <mergeCell ref="F111:F112"/>
    <mergeCell ref="G111:G112"/>
    <mergeCell ref="J138:J139"/>
    <mergeCell ref="K138:K139"/>
    <mergeCell ref="L138:L139"/>
    <mergeCell ref="M138:M139"/>
    <mergeCell ref="N138:N139"/>
    <mergeCell ref="O138:P138"/>
    <mergeCell ref="O128:P128"/>
    <mergeCell ref="B138:B139"/>
    <mergeCell ref="C138:C139"/>
    <mergeCell ref="D138:D139"/>
    <mergeCell ref="E138:E139"/>
    <mergeCell ref="F138:F139"/>
    <mergeCell ref="G138:G139"/>
    <mergeCell ref="H138:H139"/>
    <mergeCell ref="I138:I139"/>
    <mergeCell ref="I128:I129"/>
    <mergeCell ref="J128:J129"/>
    <mergeCell ref="K128:K129"/>
    <mergeCell ref="L128:L129"/>
    <mergeCell ref="M128:M129"/>
    <mergeCell ref="N128:N129"/>
    <mergeCell ref="E159:E160"/>
    <mergeCell ref="F159:F160"/>
    <mergeCell ref="G159:G160"/>
    <mergeCell ref="K147:K148"/>
    <mergeCell ref="L147:L148"/>
    <mergeCell ref="M147:M148"/>
    <mergeCell ref="N147:N148"/>
    <mergeCell ref="O147:P147"/>
    <mergeCell ref="B147:B148"/>
    <mergeCell ref="C147:C148"/>
    <mergeCell ref="D147:D148"/>
    <mergeCell ref="E147:E148"/>
    <mergeCell ref="F147:F148"/>
    <mergeCell ref="G147:G148"/>
    <mergeCell ref="H147:H148"/>
    <mergeCell ref="I147:I148"/>
    <mergeCell ref="J147:J148"/>
    <mergeCell ref="S249:T249"/>
    <mergeCell ref="V158:AA158"/>
    <mergeCell ref="V249:AA249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A45:AA46"/>
    <mergeCell ref="AA142:AA143"/>
    <mergeCell ref="V67:AA67"/>
    <mergeCell ref="B1:P1"/>
    <mergeCell ref="B89:P89"/>
    <mergeCell ref="B179:P179"/>
    <mergeCell ref="AB3:AB4"/>
    <mergeCell ref="AC3:AC4"/>
    <mergeCell ref="AD3:AD4"/>
    <mergeCell ref="AE3:AE4"/>
    <mergeCell ref="S67:T67"/>
    <mergeCell ref="S158:T158"/>
    <mergeCell ref="AB142:AB143"/>
    <mergeCell ref="AC142:AC143"/>
    <mergeCell ref="AD142:AD143"/>
    <mergeCell ref="AE142:AE143"/>
    <mergeCell ref="N159:N160"/>
    <mergeCell ref="O159:P159"/>
    <mergeCell ref="H159:H160"/>
    <mergeCell ref="I159:I160"/>
    <mergeCell ref="J159:J160"/>
    <mergeCell ref="K159:K160"/>
    <mergeCell ref="L159:L160"/>
    <mergeCell ref="M159:M160"/>
    <mergeCell ref="B159:B160"/>
    <mergeCell ref="C159:C160"/>
    <mergeCell ref="D159:D160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C9D4F3-2970-4E5B-81FD-EA241302E48A}">
  <sheetPr codeName="Feuil12">
    <tabColor theme="5" tint="0.39997558519241921"/>
  </sheetPr>
  <dimension ref="B1:AE268"/>
  <sheetViews>
    <sheetView showGridLines="0" zoomScale="70" zoomScaleNormal="70" workbookViewId="0">
      <selection activeCell="B1" sqref="B1:AE268"/>
    </sheetView>
  </sheetViews>
  <sheetFormatPr baseColWidth="10" defaultColWidth="10.7109375" defaultRowHeight="15" x14ac:dyDescent="0.25"/>
  <cols>
    <col min="1" max="1" width="10.7109375" style="20"/>
    <col min="2" max="2" width="34.85546875" style="20" customWidth="1"/>
    <col min="3" max="3" width="13.7109375" style="20" customWidth="1"/>
    <col min="4" max="4" width="13.42578125" style="20" customWidth="1"/>
    <col min="5" max="5" width="15.5703125" style="20" customWidth="1"/>
    <col min="6" max="6" width="13.85546875" style="20" customWidth="1"/>
    <col min="7" max="7" width="13.140625" style="20" customWidth="1"/>
    <col min="8" max="8" width="12.85546875" style="20" customWidth="1"/>
    <col min="9" max="9" width="17.28515625" style="20" customWidth="1"/>
    <col min="10" max="11" width="13.7109375" style="20" customWidth="1"/>
    <col min="12" max="12" width="15.85546875" style="20" customWidth="1"/>
    <col min="13" max="13" width="13.28515625" style="20" customWidth="1"/>
    <col min="14" max="14" width="14.85546875" style="20" customWidth="1"/>
    <col min="15" max="15" width="35.42578125" style="20" bestFit="1" customWidth="1"/>
    <col min="16" max="16" width="14.85546875" style="20" customWidth="1"/>
    <col min="17" max="18" width="9.140625" style="20" bestFit="1" customWidth="1"/>
    <col min="19" max="19" width="36.42578125" style="20" customWidth="1"/>
    <col min="20" max="20" width="15.7109375" style="20" customWidth="1"/>
    <col min="21" max="21" width="11.42578125" style="20" customWidth="1"/>
    <col min="22" max="22" width="36.85546875" style="20" customWidth="1"/>
    <col min="23" max="23" width="9.140625" style="20" customWidth="1"/>
    <col min="24" max="24" width="11.85546875" style="20" bestFit="1" customWidth="1"/>
    <col min="25" max="25" width="19.5703125" style="20" customWidth="1"/>
    <col min="26" max="26" width="40.28515625" style="20" bestFit="1" customWidth="1"/>
    <col min="27" max="27" width="18.85546875" style="20" customWidth="1"/>
    <col min="28" max="29" width="10.7109375" style="20"/>
    <col min="30" max="30" width="24.7109375" style="20" customWidth="1"/>
    <col min="31" max="31" width="15.5703125" style="20" customWidth="1"/>
    <col min="32" max="32" width="10.7109375" style="20"/>
    <col min="33" max="33" width="20.42578125" style="20" customWidth="1"/>
    <col min="34" max="36" width="10.7109375" style="20"/>
    <col min="37" max="37" width="18.85546875" style="20" customWidth="1"/>
    <col min="38" max="38" width="23.5703125" style="20" customWidth="1"/>
    <col min="39" max="16384" width="10.7109375" style="20"/>
  </cols>
  <sheetData>
    <row r="1" spans="2:16" ht="28.5" x14ac:dyDescent="0.45">
      <c r="B1" s="212" t="s">
        <v>48</v>
      </c>
      <c r="C1" s="212"/>
      <c r="D1" s="212"/>
      <c r="E1" s="212"/>
      <c r="F1" s="212"/>
      <c r="G1" s="212"/>
      <c r="H1" s="212"/>
      <c r="I1" s="212"/>
      <c r="J1" s="212"/>
      <c r="K1" s="212"/>
      <c r="L1" s="212"/>
      <c r="M1" s="212"/>
      <c r="N1" s="212"/>
      <c r="O1" s="212"/>
      <c r="P1" s="212"/>
    </row>
    <row r="2" spans="2:16" x14ac:dyDescent="0.25">
      <c r="B2" s="288" t="s">
        <v>49</v>
      </c>
      <c r="C2" s="288"/>
      <c r="D2" s="288"/>
      <c r="E2" s="288"/>
      <c r="F2" s="288"/>
      <c r="G2" s="288"/>
      <c r="H2" s="288"/>
      <c r="I2" s="288"/>
      <c r="J2" s="288"/>
      <c r="K2" s="288"/>
      <c r="L2" s="288"/>
      <c r="M2" s="288"/>
      <c r="N2" s="288"/>
      <c r="O2" s="288"/>
      <c r="P2" s="288"/>
    </row>
    <row r="3" spans="2:16" ht="14.25" customHeight="1" x14ac:dyDescent="0.25">
      <c r="B3" s="213"/>
      <c r="C3" s="215" t="s">
        <v>50</v>
      </c>
      <c r="D3" s="215" t="s">
        <v>51</v>
      </c>
      <c r="E3" s="215" t="s">
        <v>52</v>
      </c>
      <c r="F3" s="215" t="s">
        <v>53</v>
      </c>
      <c r="G3" s="215" t="s">
        <v>54</v>
      </c>
      <c r="H3" s="215" t="s">
        <v>55</v>
      </c>
      <c r="I3" s="215" t="s">
        <v>56</v>
      </c>
      <c r="J3" s="215" t="s">
        <v>57</v>
      </c>
      <c r="K3" s="215" t="s">
        <v>58</v>
      </c>
      <c r="L3" s="215" t="s">
        <v>59</v>
      </c>
      <c r="M3" s="215" t="s">
        <v>60</v>
      </c>
      <c r="N3" s="215" t="s">
        <v>61</v>
      </c>
      <c r="O3" s="220" t="s">
        <v>62</v>
      </c>
      <c r="P3" s="221"/>
    </row>
    <row r="4" spans="2:16" ht="14.25" customHeight="1" x14ac:dyDescent="0.25">
      <c r="B4" s="214"/>
      <c r="C4" s="216"/>
      <c r="D4" s="216"/>
      <c r="E4" s="216"/>
      <c r="F4" s="216"/>
      <c r="G4" s="216"/>
      <c r="H4" s="216"/>
      <c r="I4" s="216"/>
      <c r="J4" s="216"/>
      <c r="K4" s="216"/>
      <c r="L4" s="216"/>
      <c r="M4" s="216"/>
      <c r="N4" s="216"/>
      <c r="O4" s="58" t="s">
        <v>64</v>
      </c>
      <c r="P4" s="58" t="s">
        <v>65</v>
      </c>
    </row>
    <row r="5" spans="2:16" x14ac:dyDescent="0.25">
      <c r="B5" s="35" t="s">
        <v>66</v>
      </c>
      <c r="C5" s="35">
        <f>'Bilan et CDR N'!$C$5*1.02/12</f>
        <v>5304</v>
      </c>
      <c r="D5" s="35">
        <f>'Bilan et CDR N'!$C$5*1.02/12</f>
        <v>5304</v>
      </c>
      <c r="E5" s="35">
        <f>'Bilan et CDR N'!$C$5*1.02/12</f>
        <v>5304</v>
      </c>
      <c r="F5" s="35">
        <f>'Bilan et CDR N'!$C$5*1.02/12</f>
        <v>5304</v>
      </c>
      <c r="G5" s="35">
        <f>'Bilan et CDR N'!$C$5*1.02/12</f>
        <v>5304</v>
      </c>
      <c r="H5" s="35">
        <f>'Bilan et CDR N'!$C$5*1.02/12</f>
        <v>5304</v>
      </c>
      <c r="I5" s="35">
        <f>'Bilan et CDR N'!$C$5*1.02/12</f>
        <v>5304</v>
      </c>
      <c r="J5" s="35">
        <f>'Bilan et CDR N'!$C$5*1.02/12</f>
        <v>5304</v>
      </c>
      <c r="K5" s="35">
        <f>'Bilan et CDR N'!$C$5*1.02/12</f>
        <v>5304</v>
      </c>
      <c r="L5" s="35">
        <f>'Bilan et CDR N'!$C$5*1.02/12</f>
        <v>5304</v>
      </c>
      <c r="M5" s="35">
        <f>'Bilan et CDR N'!$C$5*1.02/12</f>
        <v>5304</v>
      </c>
      <c r="N5" s="35">
        <f>'Bilan et CDR N'!$C$5*1.02/12</f>
        <v>5304</v>
      </c>
      <c r="O5" s="60" t="s">
        <v>1</v>
      </c>
      <c r="P5" s="61">
        <f>SUM(C5:N5)</f>
        <v>63648</v>
      </c>
    </row>
    <row r="6" spans="2:16" ht="14.25" customHeight="1" x14ac:dyDescent="0.25">
      <c r="B6" s="34" t="s">
        <v>68</v>
      </c>
      <c r="C6" s="34">
        <f t="shared" ref="C6:N6" si="0">C5*20%</f>
        <v>1060.8</v>
      </c>
      <c r="D6" s="34">
        <f t="shared" si="0"/>
        <v>1060.8</v>
      </c>
      <c r="E6" s="34">
        <f t="shared" si="0"/>
        <v>1060.8</v>
      </c>
      <c r="F6" s="34">
        <f t="shared" si="0"/>
        <v>1060.8</v>
      </c>
      <c r="G6" s="34">
        <f t="shared" si="0"/>
        <v>1060.8</v>
      </c>
      <c r="H6" s="34">
        <f t="shared" si="0"/>
        <v>1060.8</v>
      </c>
      <c r="I6" s="34">
        <f t="shared" si="0"/>
        <v>1060.8</v>
      </c>
      <c r="J6" s="34">
        <f t="shared" si="0"/>
        <v>1060.8</v>
      </c>
      <c r="K6" s="34">
        <f t="shared" si="0"/>
        <v>1060.8</v>
      </c>
      <c r="L6" s="34">
        <f t="shared" si="0"/>
        <v>1060.8</v>
      </c>
      <c r="M6" s="34">
        <f t="shared" si="0"/>
        <v>1060.8</v>
      </c>
      <c r="N6" s="34">
        <f t="shared" si="0"/>
        <v>1060.8</v>
      </c>
      <c r="O6" s="34"/>
      <c r="P6" s="34"/>
    </row>
    <row r="7" spans="2:16" ht="14.25" customHeight="1" x14ac:dyDescent="0.25">
      <c r="B7" s="34" t="s">
        <v>69</v>
      </c>
      <c r="C7" s="34">
        <f t="shared" ref="C7:N7" si="1">C5+C6</f>
        <v>6364.8</v>
      </c>
      <c r="D7" s="34">
        <f t="shared" si="1"/>
        <v>6364.8</v>
      </c>
      <c r="E7" s="34">
        <f t="shared" si="1"/>
        <v>6364.8</v>
      </c>
      <c r="F7" s="34">
        <f t="shared" si="1"/>
        <v>6364.8</v>
      </c>
      <c r="G7" s="34">
        <f t="shared" si="1"/>
        <v>6364.8</v>
      </c>
      <c r="H7" s="34">
        <f t="shared" si="1"/>
        <v>6364.8</v>
      </c>
      <c r="I7" s="34">
        <f t="shared" si="1"/>
        <v>6364.8</v>
      </c>
      <c r="J7" s="34">
        <f t="shared" si="1"/>
        <v>6364.8</v>
      </c>
      <c r="K7" s="34">
        <f t="shared" si="1"/>
        <v>6364.8</v>
      </c>
      <c r="L7" s="34">
        <f t="shared" si="1"/>
        <v>6364.8</v>
      </c>
      <c r="M7" s="34">
        <f t="shared" si="1"/>
        <v>6364.8</v>
      </c>
      <c r="N7" s="34">
        <f t="shared" si="1"/>
        <v>6364.8</v>
      </c>
      <c r="O7" s="34"/>
      <c r="P7" s="34"/>
    </row>
    <row r="8" spans="2:16" x14ac:dyDescent="0.25">
      <c r="B8" s="81" t="s">
        <v>139</v>
      </c>
      <c r="C8" s="81">
        <f>'Bilan et CDR N'!I14</f>
        <v>78000</v>
      </c>
      <c r="D8" s="81">
        <f>C7</f>
        <v>6364.8</v>
      </c>
      <c r="E8" s="81">
        <f t="shared" ref="E8:N8" si="2">D7</f>
        <v>6364.8</v>
      </c>
      <c r="F8" s="81">
        <f t="shared" si="2"/>
        <v>6364.8</v>
      </c>
      <c r="G8" s="81">
        <f t="shared" si="2"/>
        <v>6364.8</v>
      </c>
      <c r="H8" s="81">
        <f t="shared" si="2"/>
        <v>6364.8</v>
      </c>
      <c r="I8" s="81">
        <f t="shared" si="2"/>
        <v>6364.8</v>
      </c>
      <c r="J8" s="81">
        <f t="shared" si="2"/>
        <v>6364.8</v>
      </c>
      <c r="K8" s="81">
        <f t="shared" si="2"/>
        <v>6364.8</v>
      </c>
      <c r="L8" s="81">
        <f t="shared" si="2"/>
        <v>6364.8</v>
      </c>
      <c r="M8" s="81">
        <f t="shared" si="2"/>
        <v>6364.8</v>
      </c>
      <c r="N8" s="81">
        <f t="shared" si="2"/>
        <v>6364.8</v>
      </c>
      <c r="O8" s="82" t="s">
        <v>72</v>
      </c>
      <c r="P8" s="83">
        <f>N7</f>
        <v>6364.8</v>
      </c>
    </row>
    <row r="9" spans="2:16" x14ac:dyDescent="0.25">
      <c r="B9" s="34" t="s">
        <v>208</v>
      </c>
      <c r="C9" s="34"/>
      <c r="D9" s="34"/>
      <c r="E9" s="34">
        <v>30000</v>
      </c>
      <c r="F9" s="34"/>
      <c r="G9" s="34"/>
      <c r="H9" s="34"/>
      <c r="I9" s="34"/>
      <c r="J9" s="34"/>
      <c r="K9" s="34"/>
      <c r="L9" s="34"/>
      <c r="M9" s="34"/>
      <c r="N9" s="34"/>
      <c r="O9" s="61" t="s">
        <v>209</v>
      </c>
      <c r="P9" s="61">
        <v>30000</v>
      </c>
    </row>
    <row r="11" spans="2:16" ht="14.25" customHeight="1" x14ac:dyDescent="0.25">
      <c r="B11" s="288" t="s">
        <v>74</v>
      </c>
      <c r="C11" s="288"/>
      <c r="D11" s="288"/>
      <c r="E11" s="288"/>
      <c r="F11" s="288"/>
      <c r="G11" s="288"/>
      <c r="H11" s="288"/>
      <c r="I11" s="288"/>
      <c r="J11" s="288"/>
      <c r="K11" s="288"/>
      <c r="L11" s="288"/>
      <c r="M11" s="288"/>
      <c r="N11" s="288"/>
      <c r="O11" s="288"/>
      <c r="P11" s="288"/>
    </row>
    <row r="12" spans="2:16" x14ac:dyDescent="0.25">
      <c r="B12" s="213"/>
      <c r="C12" s="215" t="s">
        <v>50</v>
      </c>
      <c r="D12" s="215" t="s">
        <v>51</v>
      </c>
      <c r="E12" s="215" t="s">
        <v>52</v>
      </c>
      <c r="F12" s="215" t="s">
        <v>53</v>
      </c>
      <c r="G12" s="215" t="s">
        <v>54</v>
      </c>
      <c r="H12" s="215" t="s">
        <v>55</v>
      </c>
      <c r="I12" s="215" t="s">
        <v>56</v>
      </c>
      <c r="J12" s="215" t="s">
        <v>57</v>
      </c>
      <c r="K12" s="215" t="s">
        <v>58</v>
      </c>
      <c r="L12" s="215" t="s">
        <v>59</v>
      </c>
      <c r="M12" s="215" t="s">
        <v>60</v>
      </c>
      <c r="N12" s="215" t="s">
        <v>61</v>
      </c>
      <c r="O12" s="220" t="s">
        <v>62</v>
      </c>
      <c r="P12" s="221"/>
    </row>
    <row r="13" spans="2:16" ht="14.25" customHeight="1" x14ac:dyDescent="0.25">
      <c r="B13" s="214"/>
      <c r="C13" s="216"/>
      <c r="D13" s="216"/>
      <c r="E13" s="216"/>
      <c r="F13" s="216"/>
      <c r="G13" s="216"/>
      <c r="H13" s="216"/>
      <c r="I13" s="216"/>
      <c r="J13" s="216"/>
      <c r="K13" s="216"/>
      <c r="L13" s="216"/>
      <c r="M13" s="216"/>
      <c r="N13" s="216"/>
      <c r="O13" s="58" t="s">
        <v>64</v>
      </c>
      <c r="P13" s="58" t="s">
        <v>65</v>
      </c>
    </row>
    <row r="14" spans="2:16" x14ac:dyDescent="0.25">
      <c r="B14" s="35" t="s">
        <v>77</v>
      </c>
      <c r="C14" s="35">
        <f t="shared" ref="C14:N14" si="3">C5*30%</f>
        <v>1591.2</v>
      </c>
      <c r="D14" s="35">
        <f t="shared" si="3"/>
        <v>1591.2</v>
      </c>
      <c r="E14" s="35">
        <f t="shared" si="3"/>
        <v>1591.2</v>
      </c>
      <c r="F14" s="35">
        <f t="shared" si="3"/>
        <v>1591.2</v>
      </c>
      <c r="G14" s="35">
        <f t="shared" si="3"/>
        <v>1591.2</v>
      </c>
      <c r="H14" s="35">
        <f t="shared" si="3"/>
        <v>1591.2</v>
      </c>
      <c r="I14" s="35">
        <f t="shared" si="3"/>
        <v>1591.2</v>
      </c>
      <c r="J14" s="35">
        <f t="shared" si="3"/>
        <v>1591.2</v>
      </c>
      <c r="K14" s="35">
        <f t="shared" si="3"/>
        <v>1591.2</v>
      </c>
      <c r="L14" s="35">
        <f t="shared" si="3"/>
        <v>1591.2</v>
      </c>
      <c r="M14" s="35">
        <f t="shared" si="3"/>
        <v>1591.2</v>
      </c>
      <c r="N14" s="35">
        <f t="shared" si="3"/>
        <v>1591.2</v>
      </c>
      <c r="O14" s="60" t="s">
        <v>78</v>
      </c>
      <c r="P14" s="61">
        <f>SUM(C14:N14)</f>
        <v>19094.400000000005</v>
      </c>
    </row>
    <row r="15" spans="2:16" ht="14.25" customHeight="1" x14ac:dyDescent="0.25">
      <c r="B15" s="34" t="s">
        <v>79</v>
      </c>
      <c r="C15" s="34">
        <f t="shared" ref="C15:N15" si="4">C14*20%</f>
        <v>318.24</v>
      </c>
      <c r="D15" s="34">
        <f t="shared" si="4"/>
        <v>318.24</v>
      </c>
      <c r="E15" s="34">
        <f t="shared" si="4"/>
        <v>318.24</v>
      </c>
      <c r="F15" s="34">
        <f t="shared" si="4"/>
        <v>318.24</v>
      </c>
      <c r="G15" s="34">
        <f t="shared" si="4"/>
        <v>318.24</v>
      </c>
      <c r="H15" s="34">
        <f t="shared" si="4"/>
        <v>318.24</v>
      </c>
      <c r="I15" s="34">
        <f t="shared" si="4"/>
        <v>318.24</v>
      </c>
      <c r="J15" s="34">
        <f t="shared" si="4"/>
        <v>318.24</v>
      </c>
      <c r="K15" s="34">
        <f t="shared" si="4"/>
        <v>318.24</v>
      </c>
      <c r="L15" s="34">
        <f t="shared" si="4"/>
        <v>318.24</v>
      </c>
      <c r="M15" s="34">
        <f t="shared" si="4"/>
        <v>318.24</v>
      </c>
      <c r="N15" s="34">
        <f t="shared" si="4"/>
        <v>318.24</v>
      </c>
      <c r="O15" s="34"/>
      <c r="P15" s="34"/>
    </row>
    <row r="16" spans="2:16" x14ac:dyDescent="0.25">
      <c r="B16" s="34" t="s">
        <v>80</v>
      </c>
      <c r="C16" s="34">
        <f t="shared" ref="C16:N16" si="5">C14+C15</f>
        <v>1909.44</v>
      </c>
      <c r="D16" s="34">
        <f t="shared" si="5"/>
        <v>1909.44</v>
      </c>
      <c r="E16" s="34">
        <f t="shared" si="5"/>
        <v>1909.44</v>
      </c>
      <c r="F16" s="34">
        <f t="shared" si="5"/>
        <v>1909.44</v>
      </c>
      <c r="G16" s="34">
        <f t="shared" si="5"/>
        <v>1909.44</v>
      </c>
      <c r="H16" s="34">
        <f t="shared" si="5"/>
        <v>1909.44</v>
      </c>
      <c r="I16" s="34">
        <f t="shared" si="5"/>
        <v>1909.44</v>
      </c>
      <c r="J16" s="34">
        <f t="shared" si="5"/>
        <v>1909.44</v>
      </c>
      <c r="K16" s="34">
        <f t="shared" si="5"/>
        <v>1909.44</v>
      </c>
      <c r="L16" s="34">
        <f t="shared" si="5"/>
        <v>1909.44</v>
      </c>
      <c r="M16" s="34">
        <f t="shared" si="5"/>
        <v>1909.44</v>
      </c>
      <c r="N16" s="34">
        <f t="shared" si="5"/>
        <v>1909.44</v>
      </c>
      <c r="O16" s="34"/>
      <c r="P16" s="34"/>
    </row>
    <row r="17" spans="2:16" x14ac:dyDescent="0.25">
      <c r="B17" s="59" t="s">
        <v>81</v>
      </c>
      <c r="C17" s="59">
        <f>C16+'Bilan et CDR N'!K14</f>
        <v>25409.439999999999</v>
      </c>
      <c r="D17" s="59">
        <f t="shared" ref="D17:N17" si="6">D16</f>
        <v>1909.44</v>
      </c>
      <c r="E17" s="59">
        <f t="shared" si="6"/>
        <v>1909.44</v>
      </c>
      <c r="F17" s="59">
        <f t="shared" si="6"/>
        <v>1909.44</v>
      </c>
      <c r="G17" s="59">
        <f t="shared" si="6"/>
        <v>1909.44</v>
      </c>
      <c r="H17" s="59">
        <f t="shared" si="6"/>
        <v>1909.44</v>
      </c>
      <c r="I17" s="59">
        <f t="shared" si="6"/>
        <v>1909.44</v>
      </c>
      <c r="J17" s="59">
        <f t="shared" si="6"/>
        <v>1909.44</v>
      </c>
      <c r="K17" s="59">
        <f t="shared" si="6"/>
        <v>1909.44</v>
      </c>
      <c r="L17" s="59">
        <f t="shared" si="6"/>
        <v>1909.44</v>
      </c>
      <c r="M17" s="59">
        <f t="shared" si="6"/>
        <v>1909.44</v>
      </c>
      <c r="N17" s="59">
        <f t="shared" si="6"/>
        <v>1909.44</v>
      </c>
      <c r="O17" s="60" t="s">
        <v>82</v>
      </c>
      <c r="P17" s="61">
        <v>0</v>
      </c>
    </row>
    <row r="20" spans="2:16" x14ac:dyDescent="0.25">
      <c r="B20" s="288" t="s">
        <v>83</v>
      </c>
      <c r="C20" s="288"/>
      <c r="D20" s="288"/>
      <c r="E20" s="288"/>
      <c r="F20" s="288"/>
      <c r="G20" s="288"/>
      <c r="H20" s="288"/>
      <c r="I20" s="288"/>
      <c r="J20" s="288"/>
      <c r="K20" s="288"/>
      <c r="L20" s="288"/>
      <c r="M20" s="288"/>
      <c r="N20" s="288"/>
      <c r="O20" s="288"/>
      <c r="P20" s="288"/>
    </row>
    <row r="21" spans="2:16" x14ac:dyDescent="0.25">
      <c r="B21" s="213"/>
      <c r="C21" s="215" t="s">
        <v>50</v>
      </c>
      <c r="D21" s="215" t="s">
        <v>51</v>
      </c>
      <c r="E21" s="215" t="s">
        <v>52</v>
      </c>
      <c r="F21" s="215" t="s">
        <v>53</v>
      </c>
      <c r="G21" s="215" t="s">
        <v>54</v>
      </c>
      <c r="H21" s="215" t="s">
        <v>55</v>
      </c>
      <c r="I21" s="215" t="s">
        <v>56</v>
      </c>
      <c r="J21" s="215" t="s">
        <v>57</v>
      </c>
      <c r="K21" s="215" t="s">
        <v>58</v>
      </c>
      <c r="L21" s="215" t="s">
        <v>59</v>
      </c>
      <c r="M21" s="215" t="s">
        <v>60</v>
      </c>
      <c r="N21" s="215" t="s">
        <v>61</v>
      </c>
      <c r="O21" s="220" t="s">
        <v>62</v>
      </c>
      <c r="P21" s="221"/>
    </row>
    <row r="22" spans="2:16" x14ac:dyDescent="0.25">
      <c r="B22" s="214"/>
      <c r="C22" s="216"/>
      <c r="D22" s="216"/>
      <c r="E22" s="216"/>
      <c r="F22" s="216"/>
      <c r="G22" s="216"/>
      <c r="H22" s="216"/>
      <c r="I22" s="216"/>
      <c r="J22" s="216"/>
      <c r="K22" s="216"/>
      <c r="L22" s="216"/>
      <c r="M22" s="216"/>
      <c r="N22" s="216"/>
      <c r="O22" s="58" t="s">
        <v>64</v>
      </c>
      <c r="P22" s="58" t="s">
        <v>65</v>
      </c>
    </row>
    <row r="23" spans="2:16" x14ac:dyDescent="0.25">
      <c r="B23" s="35" t="s">
        <v>84</v>
      </c>
      <c r="C23" s="35">
        <v>7100</v>
      </c>
      <c r="D23" s="35">
        <v>7100</v>
      </c>
      <c r="E23" s="35">
        <v>7100</v>
      </c>
      <c r="F23" s="35">
        <v>7100</v>
      </c>
      <c r="G23" s="35">
        <v>7100</v>
      </c>
      <c r="H23" s="35">
        <v>7100</v>
      </c>
      <c r="I23" s="35">
        <v>7100</v>
      </c>
      <c r="J23" s="35">
        <v>7100</v>
      </c>
      <c r="K23" s="35">
        <v>7100</v>
      </c>
      <c r="L23" s="35">
        <v>7100</v>
      </c>
      <c r="M23" s="35">
        <v>7100</v>
      </c>
      <c r="N23" s="35">
        <v>7100</v>
      </c>
      <c r="O23" s="60" t="s">
        <v>85</v>
      </c>
      <c r="P23" s="61">
        <f>SUM(C23:N23)</f>
        <v>85200</v>
      </c>
    </row>
    <row r="24" spans="2:16" x14ac:dyDescent="0.25">
      <c r="B24" s="34" t="s">
        <v>86</v>
      </c>
      <c r="C24" s="34">
        <f t="shared" ref="C24:N24" si="7">C23*20%</f>
        <v>1420</v>
      </c>
      <c r="D24" s="34">
        <f t="shared" si="7"/>
        <v>1420</v>
      </c>
      <c r="E24" s="34">
        <f t="shared" si="7"/>
        <v>1420</v>
      </c>
      <c r="F24" s="34">
        <f t="shared" si="7"/>
        <v>1420</v>
      </c>
      <c r="G24" s="34">
        <f t="shared" si="7"/>
        <v>1420</v>
      </c>
      <c r="H24" s="34">
        <f t="shared" si="7"/>
        <v>1420</v>
      </c>
      <c r="I24" s="34">
        <f t="shared" si="7"/>
        <v>1420</v>
      </c>
      <c r="J24" s="34">
        <f t="shared" si="7"/>
        <v>1420</v>
      </c>
      <c r="K24" s="34">
        <f t="shared" si="7"/>
        <v>1420</v>
      </c>
      <c r="L24" s="34">
        <f t="shared" si="7"/>
        <v>1420</v>
      </c>
      <c r="M24" s="34">
        <f t="shared" si="7"/>
        <v>1420</v>
      </c>
      <c r="N24" s="34">
        <f t="shared" si="7"/>
        <v>1420</v>
      </c>
      <c r="O24" s="34"/>
      <c r="P24" s="34"/>
    </row>
    <row r="25" spans="2:16" x14ac:dyDescent="0.25">
      <c r="B25" s="34" t="s">
        <v>87</v>
      </c>
      <c r="C25" s="34">
        <f t="shared" ref="C25:N25" si="8">C23+C24</f>
        <v>8520</v>
      </c>
      <c r="D25" s="34">
        <f t="shared" si="8"/>
        <v>8520</v>
      </c>
      <c r="E25" s="34">
        <f t="shared" si="8"/>
        <v>8520</v>
      </c>
      <c r="F25" s="34">
        <f t="shared" si="8"/>
        <v>8520</v>
      </c>
      <c r="G25" s="34">
        <f t="shared" si="8"/>
        <v>8520</v>
      </c>
      <c r="H25" s="34">
        <f t="shared" si="8"/>
        <v>8520</v>
      </c>
      <c r="I25" s="34">
        <f t="shared" si="8"/>
        <v>8520</v>
      </c>
      <c r="J25" s="34">
        <f t="shared" si="8"/>
        <v>8520</v>
      </c>
      <c r="K25" s="34">
        <f t="shared" si="8"/>
        <v>8520</v>
      </c>
      <c r="L25" s="34">
        <f t="shared" si="8"/>
        <v>8520</v>
      </c>
      <c r="M25" s="34">
        <f t="shared" si="8"/>
        <v>8520</v>
      </c>
      <c r="N25" s="34">
        <f t="shared" si="8"/>
        <v>8520</v>
      </c>
      <c r="O25" s="34"/>
      <c r="P25" s="34"/>
    </row>
    <row r="26" spans="2:16" x14ac:dyDescent="0.25">
      <c r="B26" s="59" t="s">
        <v>81</v>
      </c>
      <c r="C26" s="59">
        <f t="shared" ref="C26:N26" si="9">+C23+C24</f>
        <v>8520</v>
      </c>
      <c r="D26" s="59">
        <f t="shared" si="9"/>
        <v>8520</v>
      </c>
      <c r="E26" s="59">
        <f t="shared" si="9"/>
        <v>8520</v>
      </c>
      <c r="F26" s="59">
        <f t="shared" si="9"/>
        <v>8520</v>
      </c>
      <c r="G26" s="59">
        <f t="shared" si="9"/>
        <v>8520</v>
      </c>
      <c r="H26" s="59">
        <f t="shared" si="9"/>
        <v>8520</v>
      </c>
      <c r="I26" s="59">
        <f t="shared" si="9"/>
        <v>8520</v>
      </c>
      <c r="J26" s="59">
        <f t="shared" si="9"/>
        <v>8520</v>
      </c>
      <c r="K26" s="59">
        <f t="shared" si="9"/>
        <v>8520</v>
      </c>
      <c r="L26" s="59">
        <f t="shared" si="9"/>
        <v>8520</v>
      </c>
      <c r="M26" s="59">
        <f t="shared" si="9"/>
        <v>8520</v>
      </c>
      <c r="N26" s="59">
        <f t="shared" si="9"/>
        <v>8520</v>
      </c>
      <c r="O26" s="34"/>
      <c r="P26" s="34"/>
    </row>
    <row r="27" spans="2:16" x14ac:dyDescent="0.25">
      <c r="B27" s="34" t="s">
        <v>89</v>
      </c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>
        <v>7500</v>
      </c>
      <c r="O27" s="34"/>
      <c r="P27" s="34"/>
    </row>
    <row r="28" spans="2:16" x14ac:dyDescent="0.25">
      <c r="B28" s="26" t="s">
        <v>144</v>
      </c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>
        <f>P28</f>
        <v>3214.2857142857142</v>
      </c>
      <c r="O28" s="61" t="s">
        <v>144</v>
      </c>
      <c r="P28" s="61">
        <f>Emprunt!K5</f>
        <v>3214.2857142857142</v>
      </c>
    </row>
    <row r="29" spans="2:16" x14ac:dyDescent="0.25">
      <c r="B29" s="59" t="s">
        <v>94</v>
      </c>
      <c r="C29" s="59">
        <f t="shared" ref="C29:N29" si="10">C27+C28</f>
        <v>0</v>
      </c>
      <c r="D29" s="59">
        <f t="shared" si="10"/>
        <v>0</v>
      </c>
      <c r="E29" s="59">
        <f t="shared" si="10"/>
        <v>0</v>
      </c>
      <c r="F29" s="59">
        <f t="shared" si="10"/>
        <v>0</v>
      </c>
      <c r="G29" s="59">
        <f t="shared" si="10"/>
        <v>0</v>
      </c>
      <c r="H29" s="59">
        <f t="shared" si="10"/>
        <v>0</v>
      </c>
      <c r="I29" s="59">
        <f t="shared" si="10"/>
        <v>0</v>
      </c>
      <c r="J29" s="59">
        <f t="shared" si="10"/>
        <v>0</v>
      </c>
      <c r="K29" s="59">
        <f t="shared" si="10"/>
        <v>0</v>
      </c>
      <c r="L29" s="59">
        <f t="shared" si="10"/>
        <v>0</v>
      </c>
      <c r="M29" s="59">
        <f t="shared" si="10"/>
        <v>0</v>
      </c>
      <c r="N29" s="59">
        <f t="shared" si="10"/>
        <v>10714.285714285714</v>
      </c>
      <c r="O29" s="60" t="s">
        <v>93</v>
      </c>
      <c r="P29" s="61">
        <f>SUM(C29:N29)</f>
        <v>10714.285714285714</v>
      </c>
    </row>
    <row r="30" spans="2:16" x14ac:dyDescent="0.25">
      <c r="B30" s="34" t="s">
        <v>95</v>
      </c>
      <c r="C30" s="34">
        <f t="shared" ref="C30:N30" si="11">307500/12</f>
        <v>25625</v>
      </c>
      <c r="D30" s="34">
        <f t="shared" si="11"/>
        <v>25625</v>
      </c>
      <c r="E30" s="34">
        <f t="shared" si="11"/>
        <v>25625</v>
      </c>
      <c r="F30" s="34">
        <f t="shared" si="11"/>
        <v>25625</v>
      </c>
      <c r="G30" s="34">
        <f t="shared" si="11"/>
        <v>25625</v>
      </c>
      <c r="H30" s="34">
        <f t="shared" si="11"/>
        <v>25625</v>
      </c>
      <c r="I30" s="34">
        <f t="shared" si="11"/>
        <v>25625</v>
      </c>
      <c r="J30" s="34">
        <f t="shared" si="11"/>
        <v>25625</v>
      </c>
      <c r="K30" s="34">
        <f t="shared" si="11"/>
        <v>25625</v>
      </c>
      <c r="L30" s="34">
        <f t="shared" si="11"/>
        <v>25625</v>
      </c>
      <c r="M30" s="34">
        <f t="shared" si="11"/>
        <v>25625</v>
      </c>
      <c r="N30" s="34">
        <f t="shared" si="11"/>
        <v>25625</v>
      </c>
      <c r="O30" s="37"/>
      <c r="P30" s="37"/>
    </row>
    <row r="31" spans="2:16" x14ac:dyDescent="0.25">
      <c r="B31" s="59" t="s">
        <v>96</v>
      </c>
      <c r="C31" s="59">
        <f t="shared" ref="C31:N31" si="12">C30</f>
        <v>25625</v>
      </c>
      <c r="D31" s="59">
        <f t="shared" si="12"/>
        <v>25625</v>
      </c>
      <c r="E31" s="59">
        <f t="shared" si="12"/>
        <v>25625</v>
      </c>
      <c r="F31" s="59">
        <f t="shared" si="12"/>
        <v>25625</v>
      </c>
      <c r="G31" s="59">
        <f t="shared" si="12"/>
        <v>25625</v>
      </c>
      <c r="H31" s="59">
        <f t="shared" si="12"/>
        <v>25625</v>
      </c>
      <c r="I31" s="59">
        <f t="shared" si="12"/>
        <v>25625</v>
      </c>
      <c r="J31" s="59">
        <f t="shared" si="12"/>
        <v>25625</v>
      </c>
      <c r="K31" s="59">
        <f t="shared" si="12"/>
        <v>25625</v>
      </c>
      <c r="L31" s="59">
        <f t="shared" si="12"/>
        <v>25625</v>
      </c>
      <c r="M31" s="59">
        <f t="shared" si="12"/>
        <v>25625</v>
      </c>
      <c r="N31" s="59">
        <f t="shared" si="12"/>
        <v>25625</v>
      </c>
      <c r="O31" s="60" t="s">
        <v>97</v>
      </c>
      <c r="P31" s="61">
        <f>SUM(C31:N31)</f>
        <v>307500</v>
      </c>
    </row>
    <row r="32" spans="2:16" x14ac:dyDescent="0.25">
      <c r="B32" s="34" t="s">
        <v>21</v>
      </c>
      <c r="C32" s="34">
        <f t="shared" ref="C32:N32" si="13">C30*0.4</f>
        <v>10250</v>
      </c>
      <c r="D32" s="34">
        <f t="shared" si="13"/>
        <v>10250</v>
      </c>
      <c r="E32" s="34">
        <f t="shared" si="13"/>
        <v>10250</v>
      </c>
      <c r="F32" s="34">
        <f t="shared" si="13"/>
        <v>10250</v>
      </c>
      <c r="G32" s="34">
        <f t="shared" si="13"/>
        <v>10250</v>
      </c>
      <c r="H32" s="34">
        <f t="shared" si="13"/>
        <v>10250</v>
      </c>
      <c r="I32" s="34">
        <f t="shared" si="13"/>
        <v>10250</v>
      </c>
      <c r="J32" s="34">
        <f t="shared" si="13"/>
        <v>10250</v>
      </c>
      <c r="K32" s="34">
        <f t="shared" si="13"/>
        <v>10250</v>
      </c>
      <c r="L32" s="34">
        <f t="shared" si="13"/>
        <v>10250</v>
      </c>
      <c r="M32" s="34">
        <f t="shared" si="13"/>
        <v>10250</v>
      </c>
      <c r="N32" s="34">
        <f t="shared" si="13"/>
        <v>10250</v>
      </c>
      <c r="O32" s="60" t="s">
        <v>98</v>
      </c>
      <c r="P32" s="61">
        <f>SUM(C32:N32)</f>
        <v>123000</v>
      </c>
    </row>
    <row r="33" spans="2:31" x14ac:dyDescent="0.25">
      <c r="B33" s="59" t="s">
        <v>99</v>
      </c>
      <c r="C33" s="59">
        <v>16000</v>
      </c>
      <c r="D33" s="59">
        <f t="shared" ref="D33:N33" si="14">C32</f>
        <v>10250</v>
      </c>
      <c r="E33" s="59">
        <f t="shared" si="14"/>
        <v>10250</v>
      </c>
      <c r="F33" s="59">
        <f t="shared" si="14"/>
        <v>10250</v>
      </c>
      <c r="G33" s="59">
        <f t="shared" si="14"/>
        <v>10250</v>
      </c>
      <c r="H33" s="59">
        <f t="shared" si="14"/>
        <v>10250</v>
      </c>
      <c r="I33" s="59">
        <f t="shared" si="14"/>
        <v>10250</v>
      </c>
      <c r="J33" s="59">
        <f t="shared" si="14"/>
        <v>10250</v>
      </c>
      <c r="K33" s="59">
        <f t="shared" si="14"/>
        <v>10250</v>
      </c>
      <c r="L33" s="59">
        <f t="shared" si="14"/>
        <v>10250</v>
      </c>
      <c r="M33" s="59">
        <f t="shared" si="14"/>
        <v>10250</v>
      </c>
      <c r="N33" s="59">
        <f t="shared" si="14"/>
        <v>10250</v>
      </c>
      <c r="O33" s="60" t="s">
        <v>100</v>
      </c>
      <c r="P33" s="61">
        <f>N32</f>
        <v>10250</v>
      </c>
    </row>
    <row r="36" spans="2:31" x14ac:dyDescent="0.25">
      <c r="B36" s="288" t="s">
        <v>101</v>
      </c>
      <c r="C36" s="288"/>
      <c r="D36" s="288"/>
      <c r="E36" s="288"/>
      <c r="F36" s="288"/>
      <c r="G36" s="288"/>
      <c r="H36" s="288"/>
      <c r="I36" s="288"/>
      <c r="J36" s="288"/>
      <c r="K36" s="288"/>
      <c r="L36" s="288"/>
      <c r="M36" s="288"/>
      <c r="N36" s="288"/>
      <c r="O36" s="288"/>
      <c r="P36" s="288"/>
    </row>
    <row r="37" spans="2:31" x14ac:dyDescent="0.25">
      <c r="B37" s="213"/>
      <c r="C37" s="215" t="s">
        <v>50</v>
      </c>
      <c r="D37" s="215" t="s">
        <v>51</v>
      </c>
      <c r="E37" s="215" t="s">
        <v>52</v>
      </c>
      <c r="F37" s="215" t="s">
        <v>53</v>
      </c>
      <c r="G37" s="215" t="s">
        <v>54</v>
      </c>
      <c r="H37" s="215" t="s">
        <v>55</v>
      </c>
      <c r="I37" s="215" t="s">
        <v>56</v>
      </c>
      <c r="J37" s="215" t="s">
        <v>57</v>
      </c>
      <c r="K37" s="215" t="s">
        <v>58</v>
      </c>
      <c r="L37" s="215" t="s">
        <v>59</v>
      </c>
      <c r="M37" s="215" t="s">
        <v>60</v>
      </c>
      <c r="N37" s="215" t="s">
        <v>61</v>
      </c>
      <c r="O37" s="220" t="s">
        <v>62</v>
      </c>
      <c r="P37" s="221"/>
    </row>
    <row r="38" spans="2:31" x14ac:dyDescent="0.25">
      <c r="B38" s="214"/>
      <c r="C38" s="216"/>
      <c r="D38" s="216"/>
      <c r="E38" s="216"/>
      <c r="F38" s="216"/>
      <c r="G38" s="216"/>
      <c r="H38" s="216"/>
      <c r="I38" s="216"/>
      <c r="J38" s="216"/>
      <c r="K38" s="216"/>
      <c r="L38" s="216"/>
      <c r="M38" s="216"/>
      <c r="N38" s="216"/>
      <c r="O38" s="58" t="s">
        <v>64</v>
      </c>
      <c r="P38" s="58" t="s">
        <v>65</v>
      </c>
    </row>
    <row r="39" spans="2:31" x14ac:dyDescent="0.25">
      <c r="B39" s="46" t="s">
        <v>102</v>
      </c>
      <c r="C39" s="35"/>
      <c r="D39" s="35"/>
      <c r="E39" s="35"/>
      <c r="F39" s="35"/>
      <c r="G39" s="35"/>
      <c r="H39" s="35"/>
      <c r="I39" s="35"/>
      <c r="J39" s="35"/>
      <c r="K39" s="35"/>
      <c r="L39" s="35">
        <v>8200</v>
      </c>
      <c r="M39" s="35"/>
      <c r="N39" s="35"/>
      <c r="O39" s="60" t="s">
        <v>103</v>
      </c>
      <c r="P39" s="61">
        <f>SUM(C39:N39)</f>
        <v>8200</v>
      </c>
    </row>
    <row r="40" spans="2:31" x14ac:dyDescent="0.25">
      <c r="B40" s="34" t="s">
        <v>105</v>
      </c>
      <c r="C40" s="34"/>
      <c r="D40" s="34"/>
      <c r="E40" s="34"/>
      <c r="F40" s="34"/>
      <c r="G40" s="34"/>
      <c r="H40" s="34"/>
      <c r="I40" s="34"/>
      <c r="J40" s="34"/>
      <c r="K40" s="34"/>
      <c r="L40" s="34">
        <v>8200</v>
      </c>
      <c r="M40" s="34"/>
      <c r="N40" s="34"/>
      <c r="O40" s="34"/>
      <c r="P40" s="34"/>
    </row>
    <row r="41" spans="2:31" x14ac:dyDescent="0.25">
      <c r="B41" s="34" t="s">
        <v>106</v>
      </c>
      <c r="C41" s="34">
        <f t="shared" ref="C41:N41" si="15">$P$41/12</f>
        <v>350</v>
      </c>
      <c r="D41" s="34">
        <f t="shared" si="15"/>
        <v>350</v>
      </c>
      <c r="E41" s="34">
        <f t="shared" si="15"/>
        <v>350</v>
      </c>
      <c r="F41" s="34">
        <f t="shared" si="15"/>
        <v>350</v>
      </c>
      <c r="G41" s="34">
        <f t="shared" si="15"/>
        <v>350</v>
      </c>
      <c r="H41" s="34">
        <f t="shared" si="15"/>
        <v>350</v>
      </c>
      <c r="I41" s="34">
        <f t="shared" si="15"/>
        <v>350</v>
      </c>
      <c r="J41" s="34">
        <f t="shared" si="15"/>
        <v>350</v>
      </c>
      <c r="K41" s="34">
        <f t="shared" si="15"/>
        <v>350</v>
      </c>
      <c r="L41" s="34">
        <f t="shared" si="15"/>
        <v>350</v>
      </c>
      <c r="M41" s="34">
        <f t="shared" si="15"/>
        <v>350</v>
      </c>
      <c r="N41" s="34">
        <f t="shared" si="15"/>
        <v>350</v>
      </c>
      <c r="O41" s="60" t="s">
        <v>107</v>
      </c>
      <c r="P41" s="61">
        <f>Informations!D26</f>
        <v>4200</v>
      </c>
    </row>
    <row r="42" spans="2:31" x14ac:dyDescent="0.25">
      <c r="B42" s="34" t="s">
        <v>108</v>
      </c>
      <c r="C42" s="34">
        <f t="shared" ref="C42:N42" si="16">$P$42/12</f>
        <v>5000</v>
      </c>
      <c r="D42" s="34">
        <f t="shared" si="16"/>
        <v>5000</v>
      </c>
      <c r="E42" s="34">
        <f t="shared" si="16"/>
        <v>5000</v>
      </c>
      <c r="F42" s="34">
        <f t="shared" si="16"/>
        <v>5000</v>
      </c>
      <c r="G42" s="34">
        <f t="shared" si="16"/>
        <v>5000</v>
      </c>
      <c r="H42" s="34">
        <f t="shared" si="16"/>
        <v>5000</v>
      </c>
      <c r="I42" s="34">
        <f t="shared" si="16"/>
        <v>5000</v>
      </c>
      <c r="J42" s="34">
        <f t="shared" si="16"/>
        <v>5000</v>
      </c>
      <c r="K42" s="34">
        <f t="shared" si="16"/>
        <v>5000</v>
      </c>
      <c r="L42" s="34">
        <f t="shared" si="16"/>
        <v>5000</v>
      </c>
      <c r="M42" s="34">
        <f t="shared" si="16"/>
        <v>5000</v>
      </c>
      <c r="N42" s="34">
        <f t="shared" si="16"/>
        <v>5000</v>
      </c>
      <c r="O42" s="60" t="s">
        <v>109</v>
      </c>
      <c r="P42" s="61">
        <f>Informations!E26</f>
        <v>60000</v>
      </c>
    </row>
    <row r="43" spans="2:31" x14ac:dyDescent="0.25">
      <c r="B43" s="34" t="s">
        <v>217</v>
      </c>
      <c r="C43" s="34">
        <f>Informations!$I31</f>
        <v>0</v>
      </c>
      <c r="D43" s="34">
        <f>Informations!$I31</f>
        <v>0</v>
      </c>
      <c r="E43" s="34">
        <f>Informations!$I31</f>
        <v>0</v>
      </c>
      <c r="F43" s="34">
        <f>Informations!$I31</f>
        <v>0</v>
      </c>
      <c r="G43" s="34">
        <f>Informations!$I31</f>
        <v>0</v>
      </c>
      <c r="H43" s="34">
        <f>Informations!$I31</f>
        <v>0</v>
      </c>
      <c r="I43" s="34">
        <f>Informations!$I31</f>
        <v>0</v>
      </c>
      <c r="J43" s="34">
        <f>Informations!$I31</f>
        <v>0</v>
      </c>
      <c r="K43" s="34">
        <f>Informations!$I31</f>
        <v>0</v>
      </c>
      <c r="L43" s="34">
        <f>Informations!$I31</f>
        <v>0</v>
      </c>
      <c r="M43" s="34">
        <f>Informations!$I31</f>
        <v>0</v>
      </c>
      <c r="N43" s="34">
        <f>Informations!$I31</f>
        <v>0</v>
      </c>
      <c r="O43" s="60" t="s">
        <v>218</v>
      </c>
      <c r="P43" s="61">
        <f>SUM(C43:N43)</f>
        <v>0</v>
      </c>
    </row>
    <row r="44" spans="2:31" x14ac:dyDescent="0.25">
      <c r="B44" s="59" t="s">
        <v>71</v>
      </c>
      <c r="C44" s="59">
        <f>C41+C42+C43</f>
        <v>5350</v>
      </c>
      <c r="D44" s="59">
        <f t="shared" ref="D44:N44" si="17">D41+D42+D43</f>
        <v>5350</v>
      </c>
      <c r="E44" s="59">
        <f t="shared" si="17"/>
        <v>5350</v>
      </c>
      <c r="F44" s="59">
        <f t="shared" si="17"/>
        <v>5350</v>
      </c>
      <c r="G44" s="59">
        <f t="shared" si="17"/>
        <v>5350</v>
      </c>
      <c r="H44" s="59">
        <f t="shared" si="17"/>
        <v>5350</v>
      </c>
      <c r="I44" s="59">
        <f t="shared" si="17"/>
        <v>5350</v>
      </c>
      <c r="J44" s="59">
        <f t="shared" si="17"/>
        <v>5350</v>
      </c>
      <c r="K44" s="59">
        <f t="shared" si="17"/>
        <v>5350</v>
      </c>
      <c r="L44" s="59">
        <f t="shared" si="17"/>
        <v>5350</v>
      </c>
      <c r="M44" s="59">
        <f t="shared" si="17"/>
        <v>5350</v>
      </c>
      <c r="N44" s="59">
        <f t="shared" si="17"/>
        <v>5350</v>
      </c>
      <c r="O44" s="38"/>
      <c r="P44" s="38"/>
    </row>
    <row r="46" spans="2:31" x14ac:dyDescent="0.25">
      <c r="S46" s="283" t="s">
        <v>203</v>
      </c>
      <c r="T46" s="283" t="s">
        <v>50</v>
      </c>
      <c r="U46" s="283" t="s">
        <v>51</v>
      </c>
      <c r="V46" s="283" t="s">
        <v>52</v>
      </c>
      <c r="W46" s="283" t="s">
        <v>53</v>
      </c>
      <c r="X46" s="283" t="s">
        <v>54</v>
      </c>
      <c r="Y46" s="283" t="s">
        <v>55</v>
      </c>
      <c r="Z46" s="283" t="s">
        <v>56</v>
      </c>
      <c r="AA46" s="283" t="s">
        <v>57</v>
      </c>
      <c r="AB46" s="283" t="s">
        <v>58</v>
      </c>
      <c r="AC46" s="283" t="s">
        <v>59</v>
      </c>
      <c r="AD46" s="283" t="s">
        <v>60</v>
      </c>
      <c r="AE46" s="283" t="s">
        <v>61</v>
      </c>
    </row>
    <row r="47" spans="2:31" x14ac:dyDescent="0.25">
      <c r="B47" s="288" t="s">
        <v>110</v>
      </c>
      <c r="C47" s="288"/>
      <c r="D47" s="288"/>
      <c r="E47" s="288"/>
      <c r="F47" s="288"/>
      <c r="G47" s="288"/>
      <c r="H47" s="288"/>
      <c r="I47" s="288"/>
      <c r="J47" s="288"/>
      <c r="K47" s="288"/>
      <c r="L47" s="288"/>
      <c r="M47" s="288"/>
      <c r="N47" s="288"/>
      <c r="O47" s="288"/>
      <c r="P47" s="288"/>
      <c r="S47" s="283"/>
      <c r="T47" s="283"/>
      <c r="U47" s="283"/>
      <c r="V47" s="283"/>
      <c r="W47" s="283"/>
      <c r="X47" s="283"/>
      <c r="Y47" s="283"/>
      <c r="Z47" s="283"/>
      <c r="AA47" s="283"/>
      <c r="AB47" s="283"/>
      <c r="AC47" s="283"/>
      <c r="AD47" s="283"/>
      <c r="AE47" s="283"/>
    </row>
    <row r="48" spans="2:31" x14ac:dyDescent="0.25">
      <c r="B48" s="213"/>
      <c r="C48" s="215" t="s">
        <v>50</v>
      </c>
      <c r="D48" s="215" t="s">
        <v>51</v>
      </c>
      <c r="E48" s="215" t="s">
        <v>52</v>
      </c>
      <c r="F48" s="215" t="s">
        <v>53</v>
      </c>
      <c r="G48" s="215" t="s">
        <v>54</v>
      </c>
      <c r="H48" s="215" t="s">
        <v>55</v>
      </c>
      <c r="I48" s="215" t="s">
        <v>56</v>
      </c>
      <c r="J48" s="215" t="s">
        <v>57</v>
      </c>
      <c r="K48" s="215" t="s">
        <v>58</v>
      </c>
      <c r="L48" s="215" t="s">
        <v>59</v>
      </c>
      <c r="M48" s="215" t="s">
        <v>60</v>
      </c>
      <c r="N48" s="215" t="s">
        <v>61</v>
      </c>
      <c r="O48" s="220" t="s">
        <v>62</v>
      </c>
      <c r="P48" s="221"/>
      <c r="S48" s="59" t="s">
        <v>204</v>
      </c>
      <c r="T48" s="59">
        <f t="shared" ref="T48:AE48" si="18">C73</f>
        <v>78000</v>
      </c>
      <c r="U48" s="59">
        <f t="shared" si="18"/>
        <v>6364.8</v>
      </c>
      <c r="V48" s="59">
        <f t="shared" si="18"/>
        <v>36364.800000000003</v>
      </c>
      <c r="W48" s="59">
        <f t="shared" si="18"/>
        <v>6364.8</v>
      </c>
      <c r="X48" s="59">
        <f t="shared" si="18"/>
        <v>6364.8</v>
      </c>
      <c r="Y48" s="59">
        <f t="shared" si="18"/>
        <v>7864.8</v>
      </c>
      <c r="Z48" s="59">
        <f t="shared" si="18"/>
        <v>6364.8</v>
      </c>
      <c r="AA48" s="59">
        <f t="shared" si="18"/>
        <v>6364.8</v>
      </c>
      <c r="AB48" s="59">
        <f t="shared" si="18"/>
        <v>6364.8</v>
      </c>
      <c r="AC48" s="59">
        <f t="shared" si="18"/>
        <v>6364.8</v>
      </c>
      <c r="AD48" s="59">
        <f t="shared" si="18"/>
        <v>6364.8</v>
      </c>
      <c r="AE48" s="59">
        <f t="shared" si="18"/>
        <v>6364.8</v>
      </c>
    </row>
    <row r="49" spans="2:31" x14ac:dyDescent="0.25">
      <c r="B49" s="214"/>
      <c r="C49" s="216"/>
      <c r="D49" s="216"/>
      <c r="E49" s="216"/>
      <c r="F49" s="216"/>
      <c r="G49" s="216"/>
      <c r="H49" s="216"/>
      <c r="I49" s="216"/>
      <c r="J49" s="216"/>
      <c r="K49" s="216"/>
      <c r="L49" s="216"/>
      <c r="M49" s="216"/>
      <c r="N49" s="216"/>
      <c r="O49" s="58" t="s">
        <v>64</v>
      </c>
      <c r="P49" s="58" t="s">
        <v>65</v>
      </c>
      <c r="S49" s="34" t="s">
        <v>205</v>
      </c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</row>
    <row r="50" spans="2:31" x14ac:dyDescent="0.25">
      <c r="B50" s="35" t="s">
        <v>111</v>
      </c>
      <c r="C50" s="35">
        <f>Emprunt!J4</f>
        <v>22500</v>
      </c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60" t="s">
        <v>219</v>
      </c>
      <c r="P50" s="61">
        <f>SUM(C50:N50)</f>
        <v>22500</v>
      </c>
      <c r="S50" s="34" t="s">
        <v>206</v>
      </c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</row>
    <row r="51" spans="2:31" x14ac:dyDescent="0.25">
      <c r="B51" s="34" t="s">
        <v>113</v>
      </c>
      <c r="C51" s="34">
        <f>C50*20%</f>
        <v>4500</v>
      </c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S51" s="34" t="s">
        <v>207</v>
      </c>
      <c r="T51" s="34">
        <v>61056</v>
      </c>
      <c r="U51" s="34">
        <v>1737</v>
      </c>
      <c r="V51" s="34"/>
      <c r="W51" s="34"/>
      <c r="X51" s="34"/>
      <c r="Y51" s="34"/>
      <c r="Z51" s="34"/>
      <c r="AA51" s="34"/>
      <c r="AB51" s="34"/>
      <c r="AC51" s="34"/>
      <c r="AD51" s="34"/>
      <c r="AE51" s="34">
        <v>1062</v>
      </c>
    </row>
    <row r="52" spans="2:31" x14ac:dyDescent="0.25">
      <c r="B52" s="34" t="s">
        <v>114</v>
      </c>
      <c r="C52" s="34">
        <f>C50+C51</f>
        <v>27000</v>
      </c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S52" s="59" t="s">
        <v>210</v>
      </c>
      <c r="T52" s="59">
        <f>T48+T51</f>
        <v>139056</v>
      </c>
      <c r="U52" s="59">
        <f t="shared" ref="U52:AE52" si="19">SUM(U48:U51)</f>
        <v>8101.8</v>
      </c>
      <c r="V52" s="59">
        <f t="shared" si="19"/>
        <v>36364.800000000003</v>
      </c>
      <c r="W52" s="59">
        <f t="shared" si="19"/>
        <v>6364.8</v>
      </c>
      <c r="X52" s="59">
        <f t="shared" si="19"/>
        <v>6364.8</v>
      </c>
      <c r="Y52" s="59">
        <f t="shared" si="19"/>
        <v>7864.8</v>
      </c>
      <c r="Z52" s="59">
        <f t="shared" si="19"/>
        <v>6364.8</v>
      </c>
      <c r="AA52" s="59">
        <f t="shared" si="19"/>
        <v>6364.8</v>
      </c>
      <c r="AB52" s="59">
        <f t="shared" si="19"/>
        <v>6364.8</v>
      </c>
      <c r="AC52" s="59">
        <f t="shared" si="19"/>
        <v>6364.8</v>
      </c>
      <c r="AD52" s="59">
        <f t="shared" si="19"/>
        <v>6364.8</v>
      </c>
      <c r="AE52" s="59">
        <f t="shared" si="19"/>
        <v>7426.8</v>
      </c>
    </row>
    <row r="53" spans="2:31" x14ac:dyDescent="0.25">
      <c r="B53" s="59" t="s">
        <v>81</v>
      </c>
      <c r="C53" s="59">
        <f>C52</f>
        <v>27000</v>
      </c>
      <c r="D53" s="59"/>
      <c r="E53" s="59"/>
      <c r="F53" s="59"/>
      <c r="G53" s="59"/>
      <c r="H53" s="59"/>
      <c r="I53" s="59"/>
      <c r="J53" s="59"/>
      <c r="K53" s="59"/>
      <c r="L53" s="59"/>
      <c r="M53" s="59"/>
      <c r="N53" s="59"/>
      <c r="O53" s="60" t="s">
        <v>220</v>
      </c>
      <c r="P53" s="61">
        <v>0</v>
      </c>
      <c r="S53" s="34" t="s">
        <v>211</v>
      </c>
      <c r="T53" s="34">
        <f t="shared" ref="T53:AE53" si="20">C83</f>
        <v>123279.44</v>
      </c>
      <c r="U53" s="34">
        <f t="shared" si="20"/>
        <v>46852</v>
      </c>
      <c r="V53" s="34">
        <f t="shared" si="20"/>
        <v>51352</v>
      </c>
      <c r="W53" s="34">
        <f t="shared" si="20"/>
        <v>51352</v>
      </c>
      <c r="X53" s="34">
        <f t="shared" si="20"/>
        <v>51352</v>
      </c>
      <c r="Y53" s="34">
        <f t="shared" si="20"/>
        <v>51352</v>
      </c>
      <c r="Z53" s="34">
        <f t="shared" si="20"/>
        <v>51352</v>
      </c>
      <c r="AA53" s="34">
        <f t="shared" si="20"/>
        <v>51352</v>
      </c>
      <c r="AB53" s="34">
        <f t="shared" si="20"/>
        <v>51352</v>
      </c>
      <c r="AC53" s="34">
        <f t="shared" si="20"/>
        <v>59552</v>
      </c>
      <c r="AD53" s="34">
        <f t="shared" si="20"/>
        <v>51352</v>
      </c>
      <c r="AE53" s="34">
        <f t="shared" si="20"/>
        <v>51352</v>
      </c>
    </row>
    <row r="54" spans="2:31" x14ac:dyDescent="0.25">
      <c r="S54" s="34" t="s">
        <v>212</v>
      </c>
      <c r="T54" s="34"/>
      <c r="U54" s="34">
        <f t="shared" ref="U54:AE54" si="21">T51*0.07</f>
        <v>4273.92</v>
      </c>
      <c r="V54" s="34">
        <f t="shared" si="21"/>
        <v>121.59000000000002</v>
      </c>
      <c r="W54" s="34">
        <f t="shared" si="21"/>
        <v>0</v>
      </c>
      <c r="X54" s="34">
        <f t="shared" si="21"/>
        <v>0</v>
      </c>
      <c r="Y54" s="34">
        <f t="shared" si="21"/>
        <v>0</v>
      </c>
      <c r="Z54" s="34">
        <f t="shared" si="21"/>
        <v>0</v>
      </c>
      <c r="AA54" s="34">
        <f t="shared" si="21"/>
        <v>0</v>
      </c>
      <c r="AB54" s="34">
        <f t="shared" si="21"/>
        <v>0</v>
      </c>
      <c r="AC54" s="34">
        <f t="shared" si="21"/>
        <v>0</v>
      </c>
      <c r="AD54" s="34">
        <f t="shared" si="21"/>
        <v>0</v>
      </c>
      <c r="AE54" s="34">
        <f t="shared" si="21"/>
        <v>0</v>
      </c>
    </row>
    <row r="55" spans="2:31" x14ac:dyDescent="0.25">
      <c r="S55" s="59" t="s">
        <v>213</v>
      </c>
      <c r="T55" s="59">
        <f t="shared" ref="T55:AE55" si="22">T53+T54</f>
        <v>123279.44</v>
      </c>
      <c r="U55" s="59">
        <f t="shared" si="22"/>
        <v>51125.919999999998</v>
      </c>
      <c r="V55" s="59">
        <f t="shared" si="22"/>
        <v>51473.59</v>
      </c>
      <c r="W55" s="59">
        <f t="shared" si="22"/>
        <v>51352</v>
      </c>
      <c r="X55" s="59">
        <f t="shared" si="22"/>
        <v>51352</v>
      </c>
      <c r="Y55" s="59">
        <f t="shared" si="22"/>
        <v>51352</v>
      </c>
      <c r="Z55" s="59">
        <f t="shared" si="22"/>
        <v>51352</v>
      </c>
      <c r="AA55" s="59">
        <f t="shared" si="22"/>
        <v>51352</v>
      </c>
      <c r="AB55" s="59">
        <f t="shared" si="22"/>
        <v>51352</v>
      </c>
      <c r="AC55" s="59">
        <f t="shared" si="22"/>
        <v>59552</v>
      </c>
      <c r="AD55" s="59">
        <f t="shared" si="22"/>
        <v>51352</v>
      </c>
      <c r="AE55" s="59">
        <f t="shared" si="22"/>
        <v>51352</v>
      </c>
    </row>
    <row r="56" spans="2:31" x14ac:dyDescent="0.25">
      <c r="B56" s="288" t="s">
        <v>116</v>
      </c>
      <c r="C56" s="288"/>
      <c r="D56" s="288"/>
      <c r="E56" s="288"/>
      <c r="F56" s="288"/>
      <c r="G56" s="288"/>
      <c r="H56" s="288"/>
      <c r="I56" s="288"/>
      <c r="J56" s="288"/>
      <c r="K56" s="288"/>
      <c r="L56" s="288"/>
      <c r="M56" s="288"/>
      <c r="N56" s="288"/>
      <c r="O56" s="288"/>
      <c r="P56" s="288"/>
      <c r="S56" s="34" t="s">
        <v>132</v>
      </c>
      <c r="T56" s="34">
        <f>C84</f>
        <v>6350</v>
      </c>
      <c r="U56" s="34">
        <f t="shared" ref="U56:AE56" si="23">T58</f>
        <v>22126.559999999998</v>
      </c>
      <c r="V56" s="34">
        <f t="shared" si="23"/>
        <v>-20897.559999999998</v>
      </c>
      <c r="W56" s="34">
        <f t="shared" si="23"/>
        <v>-36006.349999999991</v>
      </c>
      <c r="X56" s="34">
        <f t="shared" si="23"/>
        <v>-80993.549999999988</v>
      </c>
      <c r="Y56" s="34">
        <f t="shared" si="23"/>
        <v>-125980.74999999999</v>
      </c>
      <c r="Z56" s="34">
        <f t="shared" si="23"/>
        <v>-169467.94999999998</v>
      </c>
      <c r="AA56" s="34">
        <f t="shared" si="23"/>
        <v>-214455.14999999997</v>
      </c>
      <c r="AB56" s="34">
        <f t="shared" si="23"/>
        <v>-259442.34999999998</v>
      </c>
      <c r="AC56" s="34">
        <f t="shared" si="23"/>
        <v>-304429.55</v>
      </c>
      <c r="AD56" s="34">
        <f t="shared" si="23"/>
        <v>-357616.75</v>
      </c>
      <c r="AE56" s="34">
        <f t="shared" si="23"/>
        <v>-402603.95</v>
      </c>
    </row>
    <row r="57" spans="2:31" x14ac:dyDescent="0.25">
      <c r="B57" s="213"/>
      <c r="C57" s="215" t="s">
        <v>50</v>
      </c>
      <c r="D57" s="215" t="s">
        <v>51</v>
      </c>
      <c r="E57" s="215" t="s">
        <v>52</v>
      </c>
      <c r="F57" s="215" t="s">
        <v>53</v>
      </c>
      <c r="G57" s="215" t="s">
        <v>54</v>
      </c>
      <c r="H57" s="215" t="s">
        <v>55</v>
      </c>
      <c r="I57" s="215" t="s">
        <v>56</v>
      </c>
      <c r="J57" s="215" t="s">
        <v>57</v>
      </c>
      <c r="K57" s="215" t="s">
        <v>58</v>
      </c>
      <c r="L57" s="215" t="s">
        <v>59</v>
      </c>
      <c r="M57" s="215" t="s">
        <v>60</v>
      </c>
      <c r="N57" s="215" t="s">
        <v>61</v>
      </c>
      <c r="O57" s="220" t="s">
        <v>62</v>
      </c>
      <c r="P57" s="221"/>
      <c r="S57" s="34" t="s">
        <v>133</v>
      </c>
      <c r="T57" s="34">
        <f>T52-T55</f>
        <v>15776.559999999998</v>
      </c>
      <c r="U57" s="34">
        <f t="shared" ref="U57:AE57" si="24">U52-U55</f>
        <v>-43024.119999999995</v>
      </c>
      <c r="V57" s="34">
        <f t="shared" si="24"/>
        <v>-15108.789999999994</v>
      </c>
      <c r="W57" s="34">
        <f t="shared" si="24"/>
        <v>-44987.199999999997</v>
      </c>
      <c r="X57" s="34">
        <f t="shared" si="24"/>
        <v>-44987.199999999997</v>
      </c>
      <c r="Y57" s="34">
        <f t="shared" si="24"/>
        <v>-43487.199999999997</v>
      </c>
      <c r="Z57" s="34">
        <f t="shared" si="24"/>
        <v>-44987.199999999997</v>
      </c>
      <c r="AA57" s="34">
        <f t="shared" si="24"/>
        <v>-44987.199999999997</v>
      </c>
      <c r="AB57" s="34">
        <f t="shared" si="24"/>
        <v>-44987.199999999997</v>
      </c>
      <c r="AC57" s="34">
        <f t="shared" si="24"/>
        <v>-53187.199999999997</v>
      </c>
      <c r="AD57" s="34">
        <f t="shared" si="24"/>
        <v>-44987.199999999997</v>
      </c>
      <c r="AE57" s="34">
        <f t="shared" si="24"/>
        <v>-43925.2</v>
      </c>
    </row>
    <row r="58" spans="2:31" x14ac:dyDescent="0.25">
      <c r="B58" s="214"/>
      <c r="C58" s="216"/>
      <c r="D58" s="216"/>
      <c r="E58" s="216"/>
      <c r="F58" s="216"/>
      <c r="G58" s="216"/>
      <c r="H58" s="216"/>
      <c r="I58" s="216"/>
      <c r="J58" s="216"/>
      <c r="K58" s="216"/>
      <c r="L58" s="216"/>
      <c r="M58" s="216"/>
      <c r="N58" s="216"/>
      <c r="O58" s="58" t="s">
        <v>64</v>
      </c>
      <c r="P58" s="58" t="s">
        <v>65</v>
      </c>
      <c r="S58" s="34" t="s">
        <v>214</v>
      </c>
      <c r="T58" s="34">
        <f t="shared" ref="T58:AD58" si="25">T56+T57</f>
        <v>22126.559999999998</v>
      </c>
      <c r="U58" s="34">
        <f t="shared" si="25"/>
        <v>-20897.559999999998</v>
      </c>
      <c r="V58" s="34">
        <f t="shared" si="25"/>
        <v>-36006.349999999991</v>
      </c>
      <c r="W58" s="34">
        <f t="shared" si="25"/>
        <v>-80993.549999999988</v>
      </c>
      <c r="X58" s="34">
        <f t="shared" si="25"/>
        <v>-125980.74999999999</v>
      </c>
      <c r="Y58" s="34">
        <f t="shared" si="25"/>
        <v>-169467.94999999998</v>
      </c>
      <c r="Z58" s="34">
        <f t="shared" si="25"/>
        <v>-214455.14999999997</v>
      </c>
      <c r="AA58" s="34">
        <f t="shared" si="25"/>
        <v>-259442.34999999998</v>
      </c>
      <c r="AB58" s="34">
        <f t="shared" si="25"/>
        <v>-304429.55</v>
      </c>
      <c r="AC58" s="34">
        <f t="shared" si="25"/>
        <v>-357616.75</v>
      </c>
      <c r="AD58" s="34">
        <f t="shared" si="25"/>
        <v>-402603.95</v>
      </c>
      <c r="AE58" s="34">
        <f>AE56+AE57</f>
        <v>-446529.15</v>
      </c>
    </row>
    <row r="59" spans="2:31" x14ac:dyDescent="0.25">
      <c r="B59" s="59" t="s">
        <v>68</v>
      </c>
      <c r="C59" s="59">
        <f t="shared" ref="C59:N59" si="26">C6</f>
        <v>1060.8</v>
      </c>
      <c r="D59" s="59">
        <f t="shared" si="26"/>
        <v>1060.8</v>
      </c>
      <c r="E59" s="59">
        <f t="shared" si="26"/>
        <v>1060.8</v>
      </c>
      <c r="F59" s="59">
        <f t="shared" si="26"/>
        <v>1060.8</v>
      </c>
      <c r="G59" s="59">
        <f t="shared" si="26"/>
        <v>1060.8</v>
      </c>
      <c r="H59" s="59">
        <f t="shared" si="26"/>
        <v>1060.8</v>
      </c>
      <c r="I59" s="59">
        <f t="shared" si="26"/>
        <v>1060.8</v>
      </c>
      <c r="J59" s="59">
        <f t="shared" si="26"/>
        <v>1060.8</v>
      </c>
      <c r="K59" s="59">
        <f t="shared" si="26"/>
        <v>1060.8</v>
      </c>
      <c r="L59" s="59">
        <f t="shared" si="26"/>
        <v>1060.8</v>
      </c>
      <c r="M59" s="59">
        <f t="shared" si="26"/>
        <v>1060.8</v>
      </c>
      <c r="N59" s="59">
        <f t="shared" si="26"/>
        <v>1060.8</v>
      </c>
      <c r="O59" s="34"/>
      <c r="P59" s="34"/>
    </row>
    <row r="60" spans="2:31" x14ac:dyDescent="0.25">
      <c r="B60" s="34" t="s">
        <v>79</v>
      </c>
      <c r="C60" s="34">
        <f t="shared" ref="C60:N60" si="27">C15</f>
        <v>318.24</v>
      </c>
      <c r="D60" s="34">
        <f t="shared" si="27"/>
        <v>318.24</v>
      </c>
      <c r="E60" s="34">
        <f t="shared" si="27"/>
        <v>318.24</v>
      </c>
      <c r="F60" s="34">
        <f t="shared" si="27"/>
        <v>318.24</v>
      </c>
      <c r="G60" s="34">
        <f t="shared" si="27"/>
        <v>318.24</v>
      </c>
      <c r="H60" s="34">
        <f t="shared" si="27"/>
        <v>318.24</v>
      </c>
      <c r="I60" s="34">
        <f t="shared" si="27"/>
        <v>318.24</v>
      </c>
      <c r="J60" s="34">
        <f t="shared" si="27"/>
        <v>318.24</v>
      </c>
      <c r="K60" s="34">
        <f t="shared" si="27"/>
        <v>318.24</v>
      </c>
      <c r="L60" s="34">
        <f t="shared" si="27"/>
        <v>318.24</v>
      </c>
      <c r="M60" s="34">
        <f t="shared" si="27"/>
        <v>318.24</v>
      </c>
      <c r="N60" s="34">
        <f t="shared" si="27"/>
        <v>318.24</v>
      </c>
      <c r="O60" s="34"/>
      <c r="P60" s="34"/>
    </row>
    <row r="61" spans="2:31" x14ac:dyDescent="0.25">
      <c r="B61" s="34" t="s">
        <v>86</v>
      </c>
      <c r="C61" s="34">
        <f t="shared" ref="C61:N61" si="28">C24</f>
        <v>1420</v>
      </c>
      <c r="D61" s="34">
        <f t="shared" si="28"/>
        <v>1420</v>
      </c>
      <c r="E61" s="34">
        <f t="shared" si="28"/>
        <v>1420</v>
      </c>
      <c r="F61" s="34">
        <f t="shared" si="28"/>
        <v>1420</v>
      </c>
      <c r="G61" s="34">
        <f t="shared" si="28"/>
        <v>1420</v>
      </c>
      <c r="H61" s="34">
        <f t="shared" si="28"/>
        <v>1420</v>
      </c>
      <c r="I61" s="34">
        <f t="shared" si="28"/>
        <v>1420</v>
      </c>
      <c r="J61" s="34">
        <f t="shared" si="28"/>
        <v>1420</v>
      </c>
      <c r="K61" s="34">
        <f t="shared" si="28"/>
        <v>1420</v>
      </c>
      <c r="L61" s="34">
        <f t="shared" si="28"/>
        <v>1420</v>
      </c>
      <c r="M61" s="34">
        <f t="shared" si="28"/>
        <v>1420</v>
      </c>
      <c r="N61" s="34">
        <f t="shared" si="28"/>
        <v>1420</v>
      </c>
      <c r="O61" s="34"/>
      <c r="P61" s="34"/>
    </row>
    <row r="62" spans="2:31" x14ac:dyDescent="0.25">
      <c r="B62" s="59" t="s">
        <v>113</v>
      </c>
      <c r="C62" s="59">
        <f t="shared" ref="C62:N62" si="29">C51</f>
        <v>4500</v>
      </c>
      <c r="D62" s="59">
        <f>D51</f>
        <v>0</v>
      </c>
      <c r="E62" s="59">
        <f t="shared" si="29"/>
        <v>0</v>
      </c>
      <c r="F62" s="59">
        <f t="shared" si="29"/>
        <v>0</v>
      </c>
      <c r="G62" s="59">
        <f t="shared" si="29"/>
        <v>0</v>
      </c>
      <c r="H62" s="59">
        <f t="shared" si="29"/>
        <v>0</v>
      </c>
      <c r="I62" s="59">
        <f t="shared" si="29"/>
        <v>0</v>
      </c>
      <c r="J62" s="59">
        <f t="shared" si="29"/>
        <v>0</v>
      </c>
      <c r="K62" s="59">
        <f t="shared" si="29"/>
        <v>0</v>
      </c>
      <c r="L62" s="59">
        <f t="shared" si="29"/>
        <v>0</v>
      </c>
      <c r="M62" s="59">
        <f t="shared" si="29"/>
        <v>0</v>
      </c>
      <c r="N62" s="59">
        <f t="shared" si="29"/>
        <v>0</v>
      </c>
      <c r="O62" s="34"/>
      <c r="P62" s="34"/>
    </row>
    <row r="63" spans="2:31" x14ac:dyDescent="0.25">
      <c r="B63" s="44" t="s">
        <v>117</v>
      </c>
      <c r="C63" s="42">
        <f t="shared" ref="C63:N63" si="30">C60+C61+C62</f>
        <v>6238.24</v>
      </c>
      <c r="D63" s="42">
        <f t="shared" si="30"/>
        <v>1738.24</v>
      </c>
      <c r="E63" s="42">
        <f t="shared" si="30"/>
        <v>1738.24</v>
      </c>
      <c r="F63" s="42">
        <f t="shared" si="30"/>
        <v>1738.24</v>
      </c>
      <c r="G63" s="42">
        <f t="shared" si="30"/>
        <v>1738.24</v>
      </c>
      <c r="H63" s="42">
        <f t="shared" si="30"/>
        <v>1738.24</v>
      </c>
      <c r="I63" s="42">
        <f t="shared" si="30"/>
        <v>1738.24</v>
      </c>
      <c r="J63" s="42">
        <f t="shared" si="30"/>
        <v>1738.24</v>
      </c>
      <c r="K63" s="42">
        <f t="shared" si="30"/>
        <v>1738.24</v>
      </c>
      <c r="L63" s="42">
        <f t="shared" si="30"/>
        <v>1738.24</v>
      </c>
      <c r="M63" s="42">
        <f t="shared" si="30"/>
        <v>1738.24</v>
      </c>
      <c r="N63" s="42">
        <f t="shared" si="30"/>
        <v>1738.24</v>
      </c>
      <c r="O63" s="34"/>
      <c r="P63" s="34"/>
    </row>
    <row r="64" spans="2:31" x14ac:dyDescent="0.25">
      <c r="B64" s="45" t="s">
        <v>118</v>
      </c>
      <c r="C64" s="43">
        <f t="shared" ref="C64:N64" si="31">C59-C63</f>
        <v>-5177.4399999999996</v>
      </c>
      <c r="D64" s="43">
        <f>D59-D63</f>
        <v>-677.44</v>
      </c>
      <c r="E64" s="43">
        <f t="shared" si="31"/>
        <v>-677.44</v>
      </c>
      <c r="F64" s="43">
        <f t="shared" si="31"/>
        <v>-677.44</v>
      </c>
      <c r="G64" s="43">
        <f t="shared" si="31"/>
        <v>-677.44</v>
      </c>
      <c r="H64" s="43">
        <f t="shared" si="31"/>
        <v>-677.44</v>
      </c>
      <c r="I64" s="43">
        <f t="shared" si="31"/>
        <v>-677.44</v>
      </c>
      <c r="J64" s="43">
        <f t="shared" si="31"/>
        <v>-677.44</v>
      </c>
      <c r="K64" s="43">
        <f t="shared" si="31"/>
        <v>-677.44</v>
      </c>
      <c r="L64" s="43">
        <f t="shared" si="31"/>
        <v>-677.44</v>
      </c>
      <c r="M64" s="43">
        <f t="shared" si="31"/>
        <v>-677.44</v>
      </c>
      <c r="N64" s="43">
        <f t="shared" si="31"/>
        <v>-677.44</v>
      </c>
      <c r="O64" s="34"/>
      <c r="P64" s="34"/>
    </row>
    <row r="65" spans="2:27" x14ac:dyDescent="0.25">
      <c r="B65" s="59" t="s">
        <v>81</v>
      </c>
      <c r="C65" s="59">
        <v>15000</v>
      </c>
      <c r="D65" s="59">
        <f t="shared" ref="D65:N65" si="32">C64</f>
        <v>-5177.4399999999996</v>
      </c>
      <c r="E65" s="59">
        <f t="shared" si="32"/>
        <v>-677.44</v>
      </c>
      <c r="F65" s="59">
        <f t="shared" si="32"/>
        <v>-677.44</v>
      </c>
      <c r="G65" s="59">
        <f t="shared" si="32"/>
        <v>-677.44</v>
      </c>
      <c r="H65" s="59">
        <f t="shared" si="32"/>
        <v>-677.44</v>
      </c>
      <c r="I65" s="59">
        <f t="shared" si="32"/>
        <v>-677.44</v>
      </c>
      <c r="J65" s="59">
        <f t="shared" si="32"/>
        <v>-677.44</v>
      </c>
      <c r="K65" s="59">
        <f t="shared" si="32"/>
        <v>-677.44</v>
      </c>
      <c r="L65" s="59">
        <f t="shared" si="32"/>
        <v>-677.44</v>
      </c>
      <c r="M65" s="59">
        <f t="shared" si="32"/>
        <v>-677.44</v>
      </c>
      <c r="N65" s="59">
        <f t="shared" si="32"/>
        <v>-677.44</v>
      </c>
      <c r="O65" s="60" t="s">
        <v>119</v>
      </c>
      <c r="P65" s="61">
        <f>N64</f>
        <v>-677.44</v>
      </c>
    </row>
    <row r="67" spans="2:27" ht="14.25" customHeight="1" x14ac:dyDescent="0.25"/>
    <row r="68" spans="2:27" ht="15" customHeight="1" x14ac:dyDescent="0.25">
      <c r="B68" s="288" t="s">
        <v>120</v>
      </c>
      <c r="C68" s="288"/>
      <c r="D68" s="288"/>
      <c r="E68" s="288"/>
      <c r="F68" s="288"/>
      <c r="G68" s="288"/>
      <c r="H68" s="288"/>
      <c r="I68" s="288"/>
      <c r="J68" s="288"/>
      <c r="K68" s="288"/>
      <c r="L68" s="288"/>
      <c r="M68" s="288"/>
      <c r="N68" s="288"/>
      <c r="O68" s="288"/>
      <c r="P68" s="288"/>
    </row>
    <row r="69" spans="2:27" x14ac:dyDescent="0.25">
      <c r="B69" s="213"/>
      <c r="C69" s="215" t="s">
        <v>50</v>
      </c>
      <c r="D69" s="215" t="s">
        <v>51</v>
      </c>
      <c r="E69" s="215" t="s">
        <v>52</v>
      </c>
      <c r="F69" s="215" t="s">
        <v>53</v>
      </c>
      <c r="G69" s="215" t="s">
        <v>54</v>
      </c>
      <c r="H69" s="215" t="s">
        <v>55</v>
      </c>
      <c r="I69" s="215" t="s">
        <v>56</v>
      </c>
      <c r="J69" s="215" t="s">
        <v>57</v>
      </c>
      <c r="K69" s="215" t="s">
        <v>58</v>
      </c>
      <c r="L69" s="215" t="s">
        <v>59</v>
      </c>
      <c r="M69" s="215" t="s">
        <v>60</v>
      </c>
      <c r="N69" s="215" t="s">
        <v>61</v>
      </c>
      <c r="O69" s="220" t="s">
        <v>62</v>
      </c>
      <c r="P69" s="221"/>
      <c r="S69" s="228" t="s">
        <v>63</v>
      </c>
      <c r="T69" s="229"/>
      <c r="V69" s="223" t="s">
        <v>88</v>
      </c>
      <c r="W69" s="224"/>
      <c r="X69" s="224"/>
      <c r="Y69" s="224"/>
      <c r="Z69" s="224"/>
      <c r="AA69" s="224"/>
    </row>
    <row r="70" spans="2:27" ht="30" x14ac:dyDescent="0.25">
      <c r="B70" s="214"/>
      <c r="C70" s="216"/>
      <c r="D70" s="216"/>
      <c r="E70" s="216"/>
      <c r="F70" s="216"/>
      <c r="G70" s="216"/>
      <c r="H70" s="216"/>
      <c r="I70" s="216"/>
      <c r="J70" s="216"/>
      <c r="K70" s="216"/>
      <c r="L70" s="216"/>
      <c r="M70" s="216"/>
      <c r="N70" s="216"/>
      <c r="O70" s="58" t="s">
        <v>64</v>
      </c>
      <c r="P70" s="58" t="s">
        <v>65</v>
      </c>
      <c r="S70" s="143" t="s">
        <v>1</v>
      </c>
      <c r="T70" s="21">
        <f>P5</f>
        <v>63648</v>
      </c>
      <c r="V70" s="144" t="s">
        <v>2</v>
      </c>
      <c r="W70" s="145" t="s">
        <v>3</v>
      </c>
      <c r="X70" s="145" t="s">
        <v>4</v>
      </c>
      <c r="Y70" s="145" t="s">
        <v>5</v>
      </c>
      <c r="Z70" s="146" t="s">
        <v>6</v>
      </c>
      <c r="AA70" s="147" t="s">
        <v>5</v>
      </c>
    </row>
    <row r="71" spans="2:27" x14ac:dyDescent="0.25">
      <c r="B71" s="35" t="s">
        <v>121</v>
      </c>
      <c r="C71" s="35">
        <f t="shared" ref="C71:N71" si="33">C8</f>
        <v>78000</v>
      </c>
      <c r="D71" s="35">
        <f t="shared" si="33"/>
        <v>6364.8</v>
      </c>
      <c r="E71" s="35">
        <f t="shared" si="33"/>
        <v>6364.8</v>
      </c>
      <c r="F71" s="35">
        <f t="shared" si="33"/>
        <v>6364.8</v>
      </c>
      <c r="G71" s="35">
        <f t="shared" si="33"/>
        <v>6364.8</v>
      </c>
      <c r="H71" s="35">
        <f t="shared" si="33"/>
        <v>6364.8</v>
      </c>
      <c r="I71" s="35">
        <f t="shared" si="33"/>
        <v>6364.8</v>
      </c>
      <c r="J71" s="34">
        <f t="shared" si="33"/>
        <v>6364.8</v>
      </c>
      <c r="K71" s="35">
        <f t="shared" si="33"/>
        <v>6364.8</v>
      </c>
      <c r="L71" s="35">
        <f t="shared" si="33"/>
        <v>6364.8</v>
      </c>
      <c r="M71" s="35">
        <f t="shared" si="33"/>
        <v>6364.8</v>
      </c>
      <c r="N71" s="35">
        <f t="shared" si="33"/>
        <v>6364.8</v>
      </c>
      <c r="O71" s="34"/>
      <c r="P71" s="34"/>
      <c r="S71" s="143" t="s">
        <v>67</v>
      </c>
      <c r="T71" s="21">
        <v>0</v>
      </c>
      <c r="V71" s="148" t="s">
        <v>8</v>
      </c>
      <c r="W71" s="148"/>
      <c r="X71" s="148">
        <f>X73+X72</f>
        <v>49814.28571428571</v>
      </c>
      <c r="Y71" s="148"/>
      <c r="Z71" s="148" t="s">
        <v>9</v>
      </c>
      <c r="AA71" s="149"/>
    </row>
    <row r="72" spans="2:27" ht="30" x14ac:dyDescent="0.25">
      <c r="B72" s="34" t="s">
        <v>122</v>
      </c>
      <c r="C72" s="34"/>
      <c r="D72" s="34"/>
      <c r="E72" s="34">
        <f>E9</f>
        <v>30000</v>
      </c>
      <c r="F72" s="34"/>
      <c r="G72" s="34"/>
      <c r="H72" s="34">
        <v>1500</v>
      </c>
      <c r="I72" s="34"/>
      <c r="J72" s="34"/>
      <c r="K72" s="34"/>
      <c r="L72" s="34"/>
      <c r="M72" s="34"/>
      <c r="N72" s="34"/>
      <c r="O72" s="34"/>
      <c r="P72" s="34"/>
      <c r="S72" s="144" t="s">
        <v>10</v>
      </c>
      <c r="T72" s="131">
        <f>T70+T71</f>
        <v>63648</v>
      </c>
      <c r="V72" s="150" t="s">
        <v>11</v>
      </c>
      <c r="W72" s="150">
        <f>'Bilan et CDR N'!G7</f>
        <v>159000</v>
      </c>
      <c r="X72" s="150">
        <f>'Bilan et CDR N'!H7+P29*0.75</f>
        <v>16535.714285714286</v>
      </c>
      <c r="Y72" s="150">
        <f>W72-X72</f>
        <v>142464.28571428571</v>
      </c>
      <c r="Z72" s="150" t="s">
        <v>12</v>
      </c>
      <c r="AA72" s="151">
        <f>'Bilan et CDR N'!K7+'Hypothèse | 2 ans'!P9</f>
        <v>80000</v>
      </c>
    </row>
    <row r="73" spans="2:27" x14ac:dyDescent="0.25">
      <c r="B73" s="59" t="s">
        <v>123</v>
      </c>
      <c r="C73" s="59">
        <f t="shared" ref="C73:N73" si="34">C72+C71</f>
        <v>78000</v>
      </c>
      <c r="D73" s="59">
        <f t="shared" si="34"/>
        <v>6364.8</v>
      </c>
      <c r="E73" s="59">
        <f t="shared" si="34"/>
        <v>36364.800000000003</v>
      </c>
      <c r="F73" s="59">
        <f t="shared" si="34"/>
        <v>6364.8</v>
      </c>
      <c r="G73" s="59">
        <f t="shared" si="34"/>
        <v>6364.8</v>
      </c>
      <c r="H73" s="59">
        <f t="shared" si="34"/>
        <v>7864.8</v>
      </c>
      <c r="I73" s="59">
        <f t="shared" si="34"/>
        <v>6364.8</v>
      </c>
      <c r="J73" s="59">
        <f t="shared" si="34"/>
        <v>6364.8</v>
      </c>
      <c r="K73" s="59">
        <f t="shared" si="34"/>
        <v>6364.8</v>
      </c>
      <c r="L73" s="59">
        <f t="shared" si="34"/>
        <v>6364.8</v>
      </c>
      <c r="M73" s="59">
        <f t="shared" si="34"/>
        <v>6364.8</v>
      </c>
      <c r="N73" s="59">
        <f t="shared" si="34"/>
        <v>6364.8</v>
      </c>
      <c r="O73" s="34"/>
      <c r="P73" s="34"/>
      <c r="S73" s="143" t="s">
        <v>70</v>
      </c>
      <c r="T73" s="21">
        <f>P14</f>
        <v>19094.400000000005</v>
      </c>
      <c r="V73" s="150" t="s">
        <v>14</v>
      </c>
      <c r="W73" s="150">
        <f>P50+'Bilan et CDR N'!G8</f>
        <v>77500</v>
      </c>
      <c r="X73" s="150">
        <f>'Bilan et CDR N'!H8+P29*0.25</f>
        <v>33278.571428571428</v>
      </c>
      <c r="Y73" s="150">
        <f>W73-X73</f>
        <v>44221.428571428572</v>
      </c>
      <c r="Z73" s="150" t="s">
        <v>15</v>
      </c>
      <c r="AA73" s="151">
        <f>'Bilan et CDR N'!K8</f>
        <v>5000</v>
      </c>
    </row>
    <row r="74" spans="2:27" x14ac:dyDescent="0.25">
      <c r="B74" s="34" t="s">
        <v>124</v>
      </c>
      <c r="C74" s="34">
        <f t="shared" ref="C74:N74" si="35">C17</f>
        <v>25409.439999999999</v>
      </c>
      <c r="D74" s="34">
        <f t="shared" si="35"/>
        <v>1909.44</v>
      </c>
      <c r="E74" s="34">
        <f t="shared" si="35"/>
        <v>1909.44</v>
      </c>
      <c r="F74" s="34">
        <f t="shared" si="35"/>
        <v>1909.44</v>
      </c>
      <c r="G74" s="34">
        <f t="shared" si="35"/>
        <v>1909.44</v>
      </c>
      <c r="H74" s="34">
        <f t="shared" si="35"/>
        <v>1909.44</v>
      </c>
      <c r="I74" s="34">
        <f t="shared" si="35"/>
        <v>1909.44</v>
      </c>
      <c r="J74" s="34">
        <f t="shared" si="35"/>
        <v>1909.44</v>
      </c>
      <c r="K74" s="34">
        <f t="shared" si="35"/>
        <v>1909.44</v>
      </c>
      <c r="L74" s="34">
        <f t="shared" si="35"/>
        <v>1909.44</v>
      </c>
      <c r="M74" s="34">
        <f t="shared" si="35"/>
        <v>1909.44</v>
      </c>
      <c r="N74" s="34">
        <f t="shared" si="35"/>
        <v>1909.44</v>
      </c>
      <c r="O74" s="34"/>
      <c r="P74" s="34"/>
      <c r="S74" s="143" t="s">
        <v>73</v>
      </c>
      <c r="T74" s="21">
        <f>P23</f>
        <v>85200</v>
      </c>
      <c r="V74" s="148"/>
      <c r="W74" s="148"/>
      <c r="X74" s="148"/>
      <c r="Y74" s="148"/>
      <c r="Z74" s="150" t="s">
        <v>17</v>
      </c>
      <c r="AA74" s="151">
        <f>'Bilan et CDR N'!K9+'Bilan et CDR N'!C23</f>
        <v>22728</v>
      </c>
    </row>
    <row r="75" spans="2:27" x14ac:dyDescent="0.25">
      <c r="B75" s="34" t="s">
        <v>125</v>
      </c>
      <c r="C75" s="34">
        <f>'Bilan et CDR N'!$K$16/12</f>
        <v>375</v>
      </c>
      <c r="D75" s="34">
        <f>'Bilan et CDR N'!$K$16/12</f>
        <v>375</v>
      </c>
      <c r="E75" s="34">
        <f>'Bilan et CDR N'!$K$16/12</f>
        <v>375</v>
      </c>
      <c r="F75" s="34">
        <f>'Bilan et CDR N'!$K$16/12</f>
        <v>375</v>
      </c>
      <c r="G75" s="34">
        <f>'Bilan et CDR N'!$K$16/12</f>
        <v>375</v>
      </c>
      <c r="H75" s="34">
        <f>'Bilan et CDR N'!$K$16/12</f>
        <v>375</v>
      </c>
      <c r="I75" s="34">
        <f>'Bilan et CDR N'!$K$16/12</f>
        <v>375</v>
      </c>
      <c r="J75" s="34">
        <f>'Bilan et CDR N'!$K$16/12</f>
        <v>375</v>
      </c>
      <c r="K75" s="34">
        <f>'Bilan et CDR N'!$K$16/12</f>
        <v>375</v>
      </c>
      <c r="L75" s="34">
        <f>'Bilan et CDR N'!$K$16/12</f>
        <v>375</v>
      </c>
      <c r="M75" s="34">
        <f>'Bilan et CDR N'!$K$16/12</f>
        <v>375</v>
      </c>
      <c r="N75" s="34">
        <f>'Bilan et CDR N'!$K$16/12</f>
        <v>375</v>
      </c>
      <c r="O75" s="34"/>
      <c r="P75" s="34"/>
      <c r="S75" s="143" t="s">
        <v>18</v>
      </c>
      <c r="T75" s="21">
        <f>P39</f>
        <v>8200</v>
      </c>
      <c r="V75" s="150"/>
      <c r="W75" s="150"/>
      <c r="X75" s="150"/>
      <c r="Y75" s="150"/>
      <c r="Z75" s="150" t="s">
        <v>19</v>
      </c>
      <c r="AA75" s="151">
        <f>T87</f>
        <v>-498656.19571428571</v>
      </c>
    </row>
    <row r="76" spans="2:27" x14ac:dyDescent="0.25">
      <c r="B76" s="34" t="s">
        <v>126</v>
      </c>
      <c r="C76" s="34">
        <f t="shared" ref="C76:N76" si="36">C31</f>
        <v>25625</v>
      </c>
      <c r="D76" s="34">
        <f t="shared" si="36"/>
        <v>25625</v>
      </c>
      <c r="E76" s="34">
        <f t="shared" si="36"/>
        <v>25625</v>
      </c>
      <c r="F76" s="34">
        <f t="shared" si="36"/>
        <v>25625</v>
      </c>
      <c r="G76" s="34">
        <f t="shared" si="36"/>
        <v>25625</v>
      </c>
      <c r="H76" s="34">
        <f t="shared" si="36"/>
        <v>25625</v>
      </c>
      <c r="I76" s="34">
        <f t="shared" si="36"/>
        <v>25625</v>
      </c>
      <c r="J76" s="34">
        <f t="shared" si="36"/>
        <v>25625</v>
      </c>
      <c r="K76" s="34">
        <f t="shared" si="36"/>
        <v>25625</v>
      </c>
      <c r="L76" s="34">
        <f t="shared" si="36"/>
        <v>25625</v>
      </c>
      <c r="M76" s="34">
        <f t="shared" si="36"/>
        <v>25625</v>
      </c>
      <c r="N76" s="34">
        <f t="shared" si="36"/>
        <v>25625</v>
      </c>
      <c r="O76" s="34"/>
      <c r="P76" s="34"/>
      <c r="S76" s="143" t="s">
        <v>20</v>
      </c>
      <c r="T76" s="21">
        <f>P31</f>
        <v>307500</v>
      </c>
      <c r="V76" s="152"/>
      <c r="W76" s="153"/>
      <c r="Y76" s="153"/>
      <c r="Z76" s="151"/>
      <c r="AA76" s="149"/>
    </row>
    <row r="77" spans="2:27" x14ac:dyDescent="0.25">
      <c r="B77" s="34" t="s">
        <v>21</v>
      </c>
      <c r="C77" s="34">
        <f t="shared" ref="C77:N77" si="37">C33</f>
        <v>16000</v>
      </c>
      <c r="D77" s="34">
        <f t="shared" si="37"/>
        <v>10250</v>
      </c>
      <c r="E77" s="34">
        <f t="shared" si="37"/>
        <v>10250</v>
      </c>
      <c r="F77" s="34">
        <f t="shared" si="37"/>
        <v>10250</v>
      </c>
      <c r="G77" s="34">
        <f t="shared" si="37"/>
        <v>10250</v>
      </c>
      <c r="H77" s="34">
        <f t="shared" si="37"/>
        <v>10250</v>
      </c>
      <c r="I77" s="34">
        <f t="shared" si="37"/>
        <v>10250</v>
      </c>
      <c r="J77" s="34">
        <f t="shared" si="37"/>
        <v>10250</v>
      </c>
      <c r="K77" s="34">
        <f t="shared" si="37"/>
        <v>10250</v>
      </c>
      <c r="L77" s="34">
        <f t="shared" si="37"/>
        <v>10250</v>
      </c>
      <c r="M77" s="34">
        <f t="shared" si="37"/>
        <v>10250</v>
      </c>
      <c r="N77" s="34">
        <f t="shared" si="37"/>
        <v>10250</v>
      </c>
      <c r="O77" s="34"/>
      <c r="P77" s="34"/>
      <c r="S77" s="143" t="s">
        <v>21</v>
      </c>
      <c r="T77" s="21">
        <f>P32</f>
        <v>123000</v>
      </c>
      <c r="V77" s="148" t="s">
        <v>22</v>
      </c>
      <c r="W77" s="148"/>
      <c r="X77" s="148"/>
      <c r="Y77" s="148"/>
      <c r="Z77" s="148" t="s">
        <v>23</v>
      </c>
      <c r="AA77" s="149"/>
    </row>
    <row r="78" spans="2:27" ht="30" x14ac:dyDescent="0.25">
      <c r="B78" s="34" t="s">
        <v>102</v>
      </c>
      <c r="C78" s="34">
        <f t="shared" ref="C78:N78" si="38">C40</f>
        <v>0</v>
      </c>
      <c r="D78" s="34">
        <f t="shared" si="38"/>
        <v>0</v>
      </c>
      <c r="E78" s="34">
        <f t="shared" si="38"/>
        <v>0</v>
      </c>
      <c r="F78" s="34">
        <f t="shared" si="38"/>
        <v>0</v>
      </c>
      <c r="G78" s="34">
        <f t="shared" si="38"/>
        <v>0</v>
      </c>
      <c r="H78" s="34">
        <f t="shared" si="38"/>
        <v>0</v>
      </c>
      <c r="I78" s="34">
        <f t="shared" si="38"/>
        <v>0</v>
      </c>
      <c r="J78" s="34">
        <f t="shared" si="38"/>
        <v>0</v>
      </c>
      <c r="K78" s="34">
        <f t="shared" si="38"/>
        <v>0</v>
      </c>
      <c r="L78" s="34">
        <f t="shared" si="38"/>
        <v>8200</v>
      </c>
      <c r="M78" s="34">
        <f t="shared" si="38"/>
        <v>0</v>
      </c>
      <c r="N78" s="34">
        <f t="shared" si="38"/>
        <v>0</v>
      </c>
      <c r="O78" s="34"/>
      <c r="P78" s="34"/>
      <c r="S78" s="143" t="s">
        <v>75</v>
      </c>
      <c r="T78" s="21">
        <f>P29</f>
        <v>10714.285714285714</v>
      </c>
      <c r="V78" s="150" t="s">
        <v>25</v>
      </c>
      <c r="W78" s="150">
        <f>'Bilan et CDR N'!G13</f>
        <v>15000</v>
      </c>
      <c r="X78" s="150"/>
      <c r="Y78" s="150">
        <f>W78</f>
        <v>15000</v>
      </c>
      <c r="Z78" s="150" t="s">
        <v>26</v>
      </c>
      <c r="AA78" s="151">
        <f>'Bilan et CDR N'!K13-P42</f>
        <v>60000</v>
      </c>
    </row>
    <row r="79" spans="2:27" x14ac:dyDescent="0.25">
      <c r="B79" s="34" t="s">
        <v>127</v>
      </c>
      <c r="C79" s="34">
        <f t="shared" ref="C79:N79" si="39">C26</f>
        <v>8520</v>
      </c>
      <c r="D79" s="34">
        <f t="shared" si="39"/>
        <v>8520</v>
      </c>
      <c r="E79" s="34">
        <f t="shared" si="39"/>
        <v>8520</v>
      </c>
      <c r="F79" s="34">
        <f t="shared" si="39"/>
        <v>8520</v>
      </c>
      <c r="G79" s="34">
        <f t="shared" si="39"/>
        <v>8520</v>
      </c>
      <c r="H79" s="34">
        <f t="shared" si="39"/>
        <v>8520</v>
      </c>
      <c r="I79" s="34">
        <f t="shared" si="39"/>
        <v>8520</v>
      </c>
      <c r="J79" s="34">
        <f t="shared" si="39"/>
        <v>8520</v>
      </c>
      <c r="K79" s="34">
        <f t="shared" si="39"/>
        <v>8520</v>
      </c>
      <c r="L79" s="34">
        <f t="shared" si="39"/>
        <v>8520</v>
      </c>
      <c r="M79" s="34">
        <f t="shared" si="39"/>
        <v>8520</v>
      </c>
      <c r="N79" s="34">
        <f t="shared" si="39"/>
        <v>8520</v>
      </c>
      <c r="O79" s="34"/>
      <c r="P79" s="34"/>
      <c r="S79" s="144" t="s">
        <v>76</v>
      </c>
      <c r="T79" s="131">
        <f>SUM(T73:T78)</f>
        <v>553708.6857142857</v>
      </c>
      <c r="V79" s="150" t="s">
        <v>28</v>
      </c>
      <c r="W79" s="150">
        <f>P8</f>
        <v>6364.8</v>
      </c>
      <c r="X79" s="150"/>
      <c r="Y79" s="150">
        <f>W79</f>
        <v>6364.8</v>
      </c>
      <c r="Z79" s="150" t="s">
        <v>29</v>
      </c>
      <c r="AA79" s="151">
        <f>P17</f>
        <v>0</v>
      </c>
    </row>
    <row r="80" spans="2:27" x14ac:dyDescent="0.25">
      <c r="B80" s="34" t="s">
        <v>128</v>
      </c>
      <c r="C80" s="34">
        <f t="shared" ref="C80:N80" si="40">C44</f>
        <v>5350</v>
      </c>
      <c r="D80" s="34">
        <f t="shared" si="40"/>
        <v>5350</v>
      </c>
      <c r="E80" s="34">
        <f t="shared" si="40"/>
        <v>5350</v>
      </c>
      <c r="F80" s="34">
        <f t="shared" si="40"/>
        <v>5350</v>
      </c>
      <c r="G80" s="34">
        <f t="shared" si="40"/>
        <v>5350</v>
      </c>
      <c r="H80" s="34">
        <f t="shared" si="40"/>
        <v>5350</v>
      </c>
      <c r="I80" s="34">
        <f t="shared" si="40"/>
        <v>5350</v>
      </c>
      <c r="J80" s="34">
        <f t="shared" si="40"/>
        <v>5350</v>
      </c>
      <c r="K80" s="34">
        <f t="shared" si="40"/>
        <v>5350</v>
      </c>
      <c r="L80" s="34">
        <f t="shared" si="40"/>
        <v>5350</v>
      </c>
      <c r="M80" s="34">
        <f t="shared" si="40"/>
        <v>5350</v>
      </c>
      <c r="N80" s="34">
        <f t="shared" si="40"/>
        <v>5350</v>
      </c>
      <c r="O80" s="34"/>
      <c r="P80" s="34"/>
      <c r="S80" s="154" t="s">
        <v>30</v>
      </c>
      <c r="T80" s="155">
        <f>T72-T79</f>
        <v>-490060.6857142857</v>
      </c>
      <c r="V80" s="150" t="s">
        <v>34</v>
      </c>
      <c r="W80" s="150">
        <f>AE58</f>
        <v>-446529.15</v>
      </c>
      <c r="X80" s="150"/>
      <c r="Y80" s="150">
        <f>W80</f>
        <v>-446529.15</v>
      </c>
      <c r="Z80" s="150" t="s">
        <v>32</v>
      </c>
      <c r="AA80" s="151">
        <f>P65+P33</f>
        <v>9572.56</v>
      </c>
    </row>
    <row r="81" spans="2:27" x14ac:dyDescent="0.25">
      <c r="B81" s="34" t="s">
        <v>129</v>
      </c>
      <c r="C81" s="34">
        <f t="shared" ref="C81:N81" si="41">C52</f>
        <v>27000</v>
      </c>
      <c r="D81" s="34">
        <f t="shared" si="41"/>
        <v>0</v>
      </c>
      <c r="E81" s="34">
        <f t="shared" si="41"/>
        <v>0</v>
      </c>
      <c r="F81" s="34">
        <f t="shared" si="41"/>
        <v>0</v>
      </c>
      <c r="G81" s="34">
        <f t="shared" si="41"/>
        <v>0</v>
      </c>
      <c r="H81" s="34">
        <f t="shared" si="41"/>
        <v>0</v>
      </c>
      <c r="I81" s="34">
        <f t="shared" si="41"/>
        <v>0</v>
      </c>
      <c r="J81" s="34">
        <f t="shared" si="41"/>
        <v>0</v>
      </c>
      <c r="K81" s="34">
        <f t="shared" si="41"/>
        <v>0</v>
      </c>
      <c r="L81" s="34">
        <f t="shared" si="41"/>
        <v>0</v>
      </c>
      <c r="M81" s="34">
        <f t="shared" si="41"/>
        <v>0</v>
      </c>
      <c r="N81" s="34">
        <f t="shared" si="41"/>
        <v>0</v>
      </c>
      <c r="O81" s="34"/>
      <c r="P81" s="34"/>
      <c r="S81" s="144" t="s">
        <v>33</v>
      </c>
      <c r="T81" s="131">
        <v>0</v>
      </c>
      <c r="V81" s="150"/>
      <c r="W81" s="150"/>
      <c r="X81" s="150"/>
      <c r="Y81" s="150"/>
      <c r="Z81" s="150" t="s">
        <v>221</v>
      </c>
      <c r="AA81" s="151">
        <f>SUM(T51:AE51)</f>
        <v>63855</v>
      </c>
    </row>
    <row r="82" spans="2:27" x14ac:dyDescent="0.25">
      <c r="B82" s="34" t="s">
        <v>130</v>
      </c>
      <c r="C82" s="34">
        <f t="shared" ref="C82:N82" si="42">C65</f>
        <v>15000</v>
      </c>
      <c r="D82" s="34">
        <f t="shared" si="42"/>
        <v>-5177.4399999999996</v>
      </c>
      <c r="E82" s="34">
        <f t="shared" si="42"/>
        <v>-677.44</v>
      </c>
      <c r="F82" s="34">
        <f t="shared" si="42"/>
        <v>-677.44</v>
      </c>
      <c r="G82" s="34">
        <f t="shared" si="42"/>
        <v>-677.44</v>
      </c>
      <c r="H82" s="34">
        <f t="shared" si="42"/>
        <v>-677.44</v>
      </c>
      <c r="I82" s="34">
        <f t="shared" si="42"/>
        <v>-677.44</v>
      </c>
      <c r="J82" s="34">
        <f t="shared" si="42"/>
        <v>-677.44</v>
      </c>
      <c r="K82" s="34">
        <f t="shared" si="42"/>
        <v>-677.44</v>
      </c>
      <c r="L82" s="34">
        <f t="shared" si="42"/>
        <v>-677.44</v>
      </c>
      <c r="M82" s="34">
        <f t="shared" si="42"/>
        <v>-677.44</v>
      </c>
      <c r="N82" s="34">
        <f t="shared" si="42"/>
        <v>-677.44</v>
      </c>
      <c r="O82" s="34"/>
      <c r="P82" s="34"/>
      <c r="S82" s="143" t="s">
        <v>36</v>
      </c>
      <c r="T82" s="21">
        <f>P41+SUM(T54:AE54)</f>
        <v>8595.51</v>
      </c>
      <c r="V82" s="156" t="s">
        <v>38</v>
      </c>
      <c r="W82" s="156">
        <f>SUM(W72:W80)</f>
        <v>-188664.35000000003</v>
      </c>
      <c r="X82" s="156"/>
      <c r="Y82" s="156">
        <f>SUM(Y72:Y81)</f>
        <v>-238478.63571428575</v>
      </c>
      <c r="Z82" s="156" t="s">
        <v>39</v>
      </c>
      <c r="AA82" s="157">
        <f>SUM(AA72:AA81)</f>
        <v>-257500.63571428572</v>
      </c>
    </row>
    <row r="83" spans="2:27" x14ac:dyDescent="0.25">
      <c r="B83" s="59" t="s">
        <v>131</v>
      </c>
      <c r="C83" s="59">
        <f t="shared" ref="C83:N83" si="43">SUM(C74:C82)</f>
        <v>123279.44</v>
      </c>
      <c r="D83" s="59">
        <f t="shared" si="43"/>
        <v>46852</v>
      </c>
      <c r="E83" s="59">
        <f t="shared" si="43"/>
        <v>51352</v>
      </c>
      <c r="F83" s="59">
        <f t="shared" si="43"/>
        <v>51352</v>
      </c>
      <c r="G83" s="59">
        <f t="shared" si="43"/>
        <v>51352</v>
      </c>
      <c r="H83" s="59">
        <f t="shared" si="43"/>
        <v>51352</v>
      </c>
      <c r="I83" s="59">
        <f t="shared" si="43"/>
        <v>51352</v>
      </c>
      <c r="J83" s="59">
        <f t="shared" si="43"/>
        <v>51352</v>
      </c>
      <c r="K83" s="59">
        <f t="shared" si="43"/>
        <v>51352</v>
      </c>
      <c r="L83" s="59">
        <f t="shared" si="43"/>
        <v>59552</v>
      </c>
      <c r="M83" s="59">
        <f t="shared" si="43"/>
        <v>51352</v>
      </c>
      <c r="N83" s="59">
        <f t="shared" si="43"/>
        <v>51352</v>
      </c>
      <c r="O83" s="34"/>
      <c r="P83" s="34"/>
      <c r="S83" s="144" t="s">
        <v>37</v>
      </c>
      <c r="T83" s="131">
        <f>T82</f>
        <v>8595.51</v>
      </c>
      <c r="Z83" s="158" t="s">
        <v>42</v>
      </c>
      <c r="AA83" s="159">
        <f>Y82-AA82</f>
        <v>19021.999999999971</v>
      </c>
    </row>
    <row r="84" spans="2:27" x14ac:dyDescent="0.25">
      <c r="B84" s="59" t="s">
        <v>132</v>
      </c>
      <c r="C84" s="59">
        <f>'Bilan et CDR N'!I16</f>
        <v>6350</v>
      </c>
      <c r="D84" s="59">
        <f t="shared" ref="D84:N84" si="44">C86</f>
        <v>-38929.440000000002</v>
      </c>
      <c r="E84" s="59">
        <f t="shared" si="44"/>
        <v>-79416.639999999999</v>
      </c>
      <c r="F84" s="59">
        <f t="shared" si="44"/>
        <v>-94403.839999999997</v>
      </c>
      <c r="G84" s="59">
        <f t="shared" si="44"/>
        <v>-139391.03999999998</v>
      </c>
      <c r="H84" s="59">
        <f t="shared" si="44"/>
        <v>-184378.23999999999</v>
      </c>
      <c r="I84" s="59">
        <f t="shared" si="44"/>
        <v>-227865.44</v>
      </c>
      <c r="J84" s="59">
        <f t="shared" si="44"/>
        <v>-272852.64</v>
      </c>
      <c r="K84" s="59">
        <f t="shared" si="44"/>
        <v>-317839.84000000003</v>
      </c>
      <c r="L84" s="59">
        <f t="shared" si="44"/>
        <v>-362827.04000000004</v>
      </c>
      <c r="M84" s="59">
        <f t="shared" si="44"/>
        <v>-416014.24000000005</v>
      </c>
      <c r="N84" s="59">
        <f t="shared" si="44"/>
        <v>-461001.44000000006</v>
      </c>
      <c r="O84" s="34"/>
      <c r="P84" s="34"/>
      <c r="S84" s="154" t="s">
        <v>40</v>
      </c>
      <c r="T84" s="155">
        <f>T81-T83</f>
        <v>-8595.51</v>
      </c>
    </row>
    <row r="85" spans="2:27" x14ac:dyDescent="0.25">
      <c r="B85" s="34" t="s">
        <v>133</v>
      </c>
      <c r="C85" s="34">
        <f t="shared" ref="C85:N85" si="45">C73-C83</f>
        <v>-45279.44</v>
      </c>
      <c r="D85" s="34">
        <f t="shared" si="45"/>
        <v>-40487.199999999997</v>
      </c>
      <c r="E85" s="34">
        <f t="shared" si="45"/>
        <v>-14987.199999999997</v>
      </c>
      <c r="F85" s="34">
        <f t="shared" si="45"/>
        <v>-44987.199999999997</v>
      </c>
      <c r="G85" s="34">
        <f t="shared" si="45"/>
        <v>-44987.199999999997</v>
      </c>
      <c r="H85" s="34">
        <f t="shared" si="45"/>
        <v>-43487.199999999997</v>
      </c>
      <c r="I85" s="34">
        <f t="shared" si="45"/>
        <v>-44987.199999999997</v>
      </c>
      <c r="J85" s="34">
        <f t="shared" si="45"/>
        <v>-44987.199999999997</v>
      </c>
      <c r="K85" s="34">
        <f t="shared" si="45"/>
        <v>-44987.199999999997</v>
      </c>
      <c r="L85" s="34">
        <f t="shared" si="45"/>
        <v>-53187.199999999997</v>
      </c>
      <c r="M85" s="34">
        <f t="shared" si="45"/>
        <v>-44987.199999999997</v>
      </c>
      <c r="N85" s="34">
        <f t="shared" si="45"/>
        <v>-44987.199999999997</v>
      </c>
      <c r="O85" s="34"/>
      <c r="P85" s="34"/>
      <c r="S85" s="154" t="s">
        <v>43</v>
      </c>
      <c r="T85" s="155">
        <f>T80-(-T84)</f>
        <v>-498656.19571428571</v>
      </c>
    </row>
    <row r="86" spans="2:27" x14ac:dyDescent="0.25">
      <c r="B86" s="59" t="s">
        <v>134</v>
      </c>
      <c r="C86" s="59">
        <f t="shared" ref="C86:N86" si="46">C84+C85</f>
        <v>-38929.440000000002</v>
      </c>
      <c r="D86" s="59">
        <f t="shared" si="46"/>
        <v>-79416.639999999999</v>
      </c>
      <c r="E86" s="59">
        <f t="shared" si="46"/>
        <v>-94403.839999999997</v>
      </c>
      <c r="F86" s="59">
        <f t="shared" si="46"/>
        <v>-139391.03999999998</v>
      </c>
      <c r="G86" s="59">
        <f t="shared" si="46"/>
        <v>-184378.23999999999</v>
      </c>
      <c r="H86" s="59">
        <f t="shared" si="46"/>
        <v>-227865.44</v>
      </c>
      <c r="I86" s="59">
        <f t="shared" si="46"/>
        <v>-272852.64</v>
      </c>
      <c r="J86" s="59">
        <f t="shared" si="46"/>
        <v>-317839.84000000003</v>
      </c>
      <c r="K86" s="59">
        <f t="shared" si="46"/>
        <v>-362827.04000000004</v>
      </c>
      <c r="L86" s="59">
        <f t="shared" si="46"/>
        <v>-416014.24000000005</v>
      </c>
      <c r="M86" s="59">
        <f t="shared" si="46"/>
        <v>-461001.44000000006</v>
      </c>
      <c r="N86" s="59">
        <f t="shared" si="46"/>
        <v>-505988.64000000007</v>
      </c>
      <c r="O86" s="60" t="s">
        <v>135</v>
      </c>
      <c r="P86" s="61">
        <f>N86</f>
        <v>-505988.64000000007</v>
      </c>
      <c r="S86" s="154" t="s">
        <v>45</v>
      </c>
      <c r="T86" s="21"/>
    </row>
    <row r="87" spans="2:27" x14ac:dyDescent="0.25">
      <c r="S87" s="160" t="s">
        <v>47</v>
      </c>
      <c r="T87" s="161">
        <f>T85</f>
        <v>-498656.19571428571</v>
      </c>
    </row>
    <row r="90" spans="2:27" ht="28.5" x14ac:dyDescent="0.45">
      <c r="B90" s="289" t="s">
        <v>136</v>
      </c>
      <c r="C90" s="289"/>
      <c r="D90" s="289"/>
      <c r="E90" s="289"/>
      <c r="F90" s="289"/>
      <c r="G90" s="289"/>
      <c r="H90" s="289"/>
      <c r="I90" s="289"/>
      <c r="J90" s="289"/>
      <c r="K90" s="289"/>
      <c r="L90" s="289"/>
      <c r="M90" s="289"/>
      <c r="N90" s="289"/>
      <c r="O90" s="289"/>
      <c r="P90" s="289"/>
    </row>
    <row r="92" spans="2:27" ht="15" customHeight="1" x14ac:dyDescent="0.25"/>
    <row r="93" spans="2:27" x14ac:dyDescent="0.25">
      <c r="B93" s="288" t="s">
        <v>137</v>
      </c>
      <c r="C93" s="288"/>
      <c r="D93" s="288"/>
      <c r="E93" s="288"/>
      <c r="F93" s="288"/>
      <c r="G93" s="288"/>
      <c r="H93" s="288"/>
      <c r="I93" s="288"/>
      <c r="J93" s="288"/>
      <c r="K93" s="288"/>
      <c r="L93" s="288"/>
      <c r="M93" s="288"/>
      <c r="N93" s="288"/>
      <c r="O93" s="288"/>
      <c r="P93" s="288"/>
    </row>
    <row r="94" spans="2:27" x14ac:dyDescent="0.25">
      <c r="B94" s="213"/>
      <c r="C94" s="215" t="s">
        <v>50</v>
      </c>
      <c r="D94" s="215" t="s">
        <v>51</v>
      </c>
      <c r="E94" s="215" t="s">
        <v>52</v>
      </c>
      <c r="F94" s="215" t="s">
        <v>53</v>
      </c>
      <c r="G94" s="215" t="s">
        <v>54</v>
      </c>
      <c r="H94" s="215" t="s">
        <v>55</v>
      </c>
      <c r="I94" s="215" t="s">
        <v>56</v>
      </c>
      <c r="J94" s="215" t="s">
        <v>57</v>
      </c>
      <c r="K94" s="215" t="s">
        <v>58</v>
      </c>
      <c r="L94" s="215" t="s">
        <v>59</v>
      </c>
      <c r="M94" s="215" t="s">
        <v>60</v>
      </c>
      <c r="N94" s="215" t="s">
        <v>61</v>
      </c>
      <c r="O94" s="220" t="s">
        <v>62</v>
      </c>
      <c r="P94" s="221"/>
    </row>
    <row r="95" spans="2:27" x14ac:dyDescent="0.25">
      <c r="B95" s="214"/>
      <c r="C95" s="216"/>
      <c r="D95" s="216"/>
      <c r="E95" s="216"/>
      <c r="F95" s="216"/>
      <c r="G95" s="216"/>
      <c r="H95" s="216"/>
      <c r="I95" s="216"/>
      <c r="J95" s="216"/>
      <c r="K95" s="216"/>
      <c r="L95" s="216"/>
      <c r="M95" s="216"/>
      <c r="N95" s="216"/>
      <c r="O95" s="58" t="s">
        <v>64</v>
      </c>
      <c r="P95" s="58" t="s">
        <v>65</v>
      </c>
    </row>
    <row r="96" spans="2:27" x14ac:dyDescent="0.25">
      <c r="B96" s="35" t="s">
        <v>66</v>
      </c>
      <c r="C96" s="35">
        <f>$P$5*1.03/12</f>
        <v>5463.12</v>
      </c>
      <c r="D96" s="35">
        <f t="shared" ref="D96:N96" si="47">$P$5*1.03/12</f>
        <v>5463.12</v>
      </c>
      <c r="E96" s="35">
        <f t="shared" si="47"/>
        <v>5463.12</v>
      </c>
      <c r="F96" s="35">
        <f t="shared" si="47"/>
        <v>5463.12</v>
      </c>
      <c r="G96" s="35">
        <f t="shared" si="47"/>
        <v>5463.12</v>
      </c>
      <c r="H96" s="35">
        <f t="shared" si="47"/>
        <v>5463.12</v>
      </c>
      <c r="I96" s="35">
        <f t="shared" si="47"/>
        <v>5463.12</v>
      </c>
      <c r="J96" s="35">
        <f t="shared" si="47"/>
        <v>5463.12</v>
      </c>
      <c r="K96" s="35">
        <f t="shared" si="47"/>
        <v>5463.12</v>
      </c>
      <c r="L96" s="35">
        <f t="shared" si="47"/>
        <v>5463.12</v>
      </c>
      <c r="M96" s="35">
        <f t="shared" si="47"/>
        <v>5463.12</v>
      </c>
      <c r="N96" s="35">
        <f t="shared" si="47"/>
        <v>5463.12</v>
      </c>
      <c r="O96" s="60" t="s">
        <v>1</v>
      </c>
      <c r="P96" s="61">
        <f>SUM(C96:N96)</f>
        <v>65557.440000000017</v>
      </c>
    </row>
    <row r="97" spans="2:16" x14ac:dyDescent="0.25">
      <c r="B97" s="34" t="s">
        <v>68</v>
      </c>
      <c r="C97" s="34">
        <f t="shared" ref="C97:N97" si="48">C96*20%</f>
        <v>1092.624</v>
      </c>
      <c r="D97" s="34">
        <f t="shared" si="48"/>
        <v>1092.624</v>
      </c>
      <c r="E97" s="34">
        <f t="shared" si="48"/>
        <v>1092.624</v>
      </c>
      <c r="F97" s="34">
        <f t="shared" si="48"/>
        <v>1092.624</v>
      </c>
      <c r="G97" s="34">
        <f t="shared" si="48"/>
        <v>1092.624</v>
      </c>
      <c r="H97" s="34">
        <f t="shared" si="48"/>
        <v>1092.624</v>
      </c>
      <c r="I97" s="34">
        <f t="shared" si="48"/>
        <v>1092.624</v>
      </c>
      <c r="J97" s="34">
        <f t="shared" si="48"/>
        <v>1092.624</v>
      </c>
      <c r="K97" s="34">
        <f t="shared" si="48"/>
        <v>1092.624</v>
      </c>
      <c r="L97" s="34">
        <f t="shared" si="48"/>
        <v>1092.624</v>
      </c>
      <c r="M97" s="34">
        <f t="shared" si="48"/>
        <v>1092.624</v>
      </c>
      <c r="N97" s="34">
        <f t="shared" si="48"/>
        <v>1092.624</v>
      </c>
      <c r="O97" s="34"/>
      <c r="P97" s="34"/>
    </row>
    <row r="98" spans="2:16" x14ac:dyDescent="0.25">
      <c r="B98" s="34" t="s">
        <v>69</v>
      </c>
      <c r="C98" s="34">
        <f t="shared" ref="C98:N98" si="49">C96+C97</f>
        <v>6555.7439999999997</v>
      </c>
      <c r="D98" s="34">
        <f t="shared" si="49"/>
        <v>6555.7439999999997</v>
      </c>
      <c r="E98" s="34">
        <f t="shared" si="49"/>
        <v>6555.7439999999997</v>
      </c>
      <c r="F98" s="34">
        <f t="shared" si="49"/>
        <v>6555.7439999999997</v>
      </c>
      <c r="G98" s="34">
        <f t="shared" si="49"/>
        <v>6555.7439999999997</v>
      </c>
      <c r="H98" s="34">
        <f t="shared" si="49"/>
        <v>6555.7439999999997</v>
      </c>
      <c r="I98" s="34">
        <f t="shared" si="49"/>
        <v>6555.7439999999997</v>
      </c>
      <c r="J98" s="34">
        <f t="shared" si="49"/>
        <v>6555.7439999999997</v>
      </c>
      <c r="K98" s="34">
        <f t="shared" si="49"/>
        <v>6555.7439999999997</v>
      </c>
      <c r="L98" s="34">
        <f t="shared" si="49"/>
        <v>6555.7439999999997</v>
      </c>
      <c r="M98" s="34">
        <f t="shared" si="49"/>
        <v>6555.7439999999997</v>
      </c>
      <c r="N98" s="34">
        <f t="shared" si="49"/>
        <v>6555.7439999999997</v>
      </c>
      <c r="O98" s="34"/>
      <c r="P98" s="34"/>
    </row>
    <row r="99" spans="2:16" x14ac:dyDescent="0.25">
      <c r="B99" s="59" t="s">
        <v>139</v>
      </c>
      <c r="C99" s="59">
        <f>P8</f>
        <v>6364.8</v>
      </c>
      <c r="D99" s="59">
        <f>C98</f>
        <v>6555.7439999999997</v>
      </c>
      <c r="E99" s="59">
        <f t="shared" ref="E99:N99" si="50">D98</f>
        <v>6555.7439999999997</v>
      </c>
      <c r="F99" s="59">
        <f t="shared" si="50"/>
        <v>6555.7439999999997</v>
      </c>
      <c r="G99" s="59">
        <f t="shared" si="50"/>
        <v>6555.7439999999997</v>
      </c>
      <c r="H99" s="59">
        <f t="shared" si="50"/>
        <v>6555.7439999999997</v>
      </c>
      <c r="I99" s="59">
        <f t="shared" si="50"/>
        <v>6555.7439999999997</v>
      </c>
      <c r="J99" s="59">
        <f t="shared" si="50"/>
        <v>6555.7439999999997</v>
      </c>
      <c r="K99" s="59">
        <f t="shared" si="50"/>
        <v>6555.7439999999997</v>
      </c>
      <c r="L99" s="59">
        <f t="shared" si="50"/>
        <v>6555.7439999999997</v>
      </c>
      <c r="M99" s="59">
        <f t="shared" si="50"/>
        <v>6555.7439999999997</v>
      </c>
      <c r="N99" s="59">
        <f t="shared" si="50"/>
        <v>6555.7439999999997</v>
      </c>
      <c r="O99" s="60" t="s">
        <v>72</v>
      </c>
      <c r="P99" s="61">
        <f>N98</f>
        <v>6555.7439999999997</v>
      </c>
    </row>
    <row r="102" spans="2:16" x14ac:dyDescent="0.25">
      <c r="B102" s="288" t="s">
        <v>140</v>
      </c>
      <c r="C102" s="288"/>
      <c r="D102" s="288"/>
      <c r="E102" s="288"/>
      <c r="F102" s="288"/>
      <c r="G102" s="288"/>
      <c r="H102" s="288"/>
      <c r="I102" s="288"/>
      <c r="J102" s="288"/>
      <c r="K102" s="288"/>
      <c r="L102" s="288"/>
      <c r="M102" s="288"/>
      <c r="N102" s="288"/>
      <c r="O102" s="288"/>
      <c r="P102" s="288"/>
    </row>
    <row r="103" spans="2:16" x14ac:dyDescent="0.25">
      <c r="B103" s="213"/>
      <c r="C103" s="215" t="s">
        <v>50</v>
      </c>
      <c r="D103" s="215" t="s">
        <v>51</v>
      </c>
      <c r="E103" s="215" t="s">
        <v>52</v>
      </c>
      <c r="F103" s="215" t="s">
        <v>53</v>
      </c>
      <c r="G103" s="215" t="s">
        <v>54</v>
      </c>
      <c r="H103" s="215" t="s">
        <v>55</v>
      </c>
      <c r="I103" s="215" t="s">
        <v>56</v>
      </c>
      <c r="J103" s="215" t="s">
        <v>57</v>
      </c>
      <c r="K103" s="215" t="s">
        <v>58</v>
      </c>
      <c r="L103" s="215" t="s">
        <v>59</v>
      </c>
      <c r="M103" s="215" t="s">
        <v>60</v>
      </c>
      <c r="N103" s="215" t="s">
        <v>61</v>
      </c>
      <c r="O103" s="220" t="s">
        <v>62</v>
      </c>
      <c r="P103" s="221"/>
    </row>
    <row r="104" spans="2:16" x14ac:dyDescent="0.25">
      <c r="B104" s="214"/>
      <c r="C104" s="216"/>
      <c r="D104" s="216"/>
      <c r="E104" s="216"/>
      <c r="F104" s="216"/>
      <c r="G104" s="216"/>
      <c r="H104" s="216"/>
      <c r="I104" s="216"/>
      <c r="J104" s="216"/>
      <c r="K104" s="216"/>
      <c r="L104" s="216"/>
      <c r="M104" s="216"/>
      <c r="N104" s="216"/>
      <c r="O104" s="58" t="s">
        <v>64</v>
      </c>
      <c r="P104" s="58" t="s">
        <v>65</v>
      </c>
    </row>
    <row r="105" spans="2:16" x14ac:dyDescent="0.25">
      <c r="B105" s="35" t="s">
        <v>77</v>
      </c>
      <c r="C105" s="35">
        <f t="shared" ref="C105:N105" si="51">C96*32%</f>
        <v>1748.1984</v>
      </c>
      <c r="D105" s="35">
        <f t="shared" si="51"/>
        <v>1748.1984</v>
      </c>
      <c r="E105" s="35">
        <f t="shared" si="51"/>
        <v>1748.1984</v>
      </c>
      <c r="F105" s="35">
        <f t="shared" si="51"/>
        <v>1748.1984</v>
      </c>
      <c r="G105" s="35">
        <f t="shared" si="51"/>
        <v>1748.1984</v>
      </c>
      <c r="H105" s="35">
        <f t="shared" si="51"/>
        <v>1748.1984</v>
      </c>
      <c r="I105" s="35">
        <f t="shared" si="51"/>
        <v>1748.1984</v>
      </c>
      <c r="J105" s="35">
        <f t="shared" si="51"/>
        <v>1748.1984</v>
      </c>
      <c r="K105" s="35">
        <f t="shared" si="51"/>
        <v>1748.1984</v>
      </c>
      <c r="L105" s="35">
        <f t="shared" si="51"/>
        <v>1748.1984</v>
      </c>
      <c r="M105" s="35">
        <f t="shared" si="51"/>
        <v>1748.1984</v>
      </c>
      <c r="N105" s="35">
        <f t="shared" si="51"/>
        <v>1748.1984</v>
      </c>
      <c r="O105" s="60" t="s">
        <v>78</v>
      </c>
      <c r="P105" s="61">
        <f>SUM(C105:N105)</f>
        <v>20978.380799999999</v>
      </c>
    </row>
    <row r="106" spans="2:16" x14ac:dyDescent="0.25">
      <c r="B106" s="34" t="s">
        <v>79</v>
      </c>
      <c r="C106" s="34">
        <f t="shared" ref="C106:N106" si="52">C105*20%</f>
        <v>349.63968</v>
      </c>
      <c r="D106" s="34">
        <f t="shared" si="52"/>
        <v>349.63968</v>
      </c>
      <c r="E106" s="34">
        <f t="shared" si="52"/>
        <v>349.63968</v>
      </c>
      <c r="F106" s="34">
        <f t="shared" si="52"/>
        <v>349.63968</v>
      </c>
      <c r="G106" s="34">
        <f t="shared" si="52"/>
        <v>349.63968</v>
      </c>
      <c r="H106" s="34">
        <f t="shared" si="52"/>
        <v>349.63968</v>
      </c>
      <c r="I106" s="34">
        <f t="shared" si="52"/>
        <v>349.63968</v>
      </c>
      <c r="J106" s="34">
        <f t="shared" si="52"/>
        <v>349.63968</v>
      </c>
      <c r="K106" s="34">
        <f t="shared" si="52"/>
        <v>349.63968</v>
      </c>
      <c r="L106" s="34">
        <f t="shared" si="52"/>
        <v>349.63968</v>
      </c>
      <c r="M106" s="34">
        <f t="shared" si="52"/>
        <v>349.63968</v>
      </c>
      <c r="N106" s="34">
        <f t="shared" si="52"/>
        <v>349.63968</v>
      </c>
      <c r="O106" s="34"/>
      <c r="P106" s="34"/>
    </row>
    <row r="107" spans="2:16" x14ac:dyDescent="0.25">
      <c r="B107" s="34" t="s">
        <v>80</v>
      </c>
      <c r="C107" s="34">
        <f t="shared" ref="C107:N107" si="53">C105+C106</f>
        <v>2097.83808</v>
      </c>
      <c r="D107" s="34">
        <f t="shared" si="53"/>
        <v>2097.83808</v>
      </c>
      <c r="E107" s="34">
        <f t="shared" si="53"/>
        <v>2097.83808</v>
      </c>
      <c r="F107" s="34">
        <f t="shared" si="53"/>
        <v>2097.83808</v>
      </c>
      <c r="G107" s="34">
        <f t="shared" si="53"/>
        <v>2097.83808</v>
      </c>
      <c r="H107" s="34">
        <f t="shared" si="53"/>
        <v>2097.83808</v>
      </c>
      <c r="I107" s="34">
        <f t="shared" si="53"/>
        <v>2097.83808</v>
      </c>
      <c r="J107" s="34">
        <f t="shared" si="53"/>
        <v>2097.83808</v>
      </c>
      <c r="K107" s="34">
        <f t="shared" si="53"/>
        <v>2097.83808</v>
      </c>
      <c r="L107" s="34">
        <f t="shared" si="53"/>
        <v>2097.83808</v>
      </c>
      <c r="M107" s="34">
        <f t="shared" si="53"/>
        <v>2097.83808</v>
      </c>
      <c r="N107" s="34">
        <f t="shared" si="53"/>
        <v>2097.83808</v>
      </c>
      <c r="O107" s="34"/>
      <c r="P107" s="34"/>
    </row>
    <row r="108" spans="2:16" x14ac:dyDescent="0.25">
      <c r="B108" s="59" t="s">
        <v>81</v>
      </c>
      <c r="C108" s="59">
        <f t="shared" ref="C108:N108" si="54">C107</f>
        <v>2097.83808</v>
      </c>
      <c r="D108" s="59">
        <f t="shared" si="54"/>
        <v>2097.83808</v>
      </c>
      <c r="E108" s="59">
        <f t="shared" si="54"/>
        <v>2097.83808</v>
      </c>
      <c r="F108" s="59">
        <f t="shared" si="54"/>
        <v>2097.83808</v>
      </c>
      <c r="G108" s="59">
        <f t="shared" si="54"/>
        <v>2097.83808</v>
      </c>
      <c r="H108" s="59">
        <f t="shared" si="54"/>
        <v>2097.83808</v>
      </c>
      <c r="I108" s="59">
        <f t="shared" si="54"/>
        <v>2097.83808</v>
      </c>
      <c r="J108" s="59">
        <f t="shared" si="54"/>
        <v>2097.83808</v>
      </c>
      <c r="K108" s="59">
        <f t="shared" si="54"/>
        <v>2097.83808</v>
      </c>
      <c r="L108" s="59">
        <f t="shared" si="54"/>
        <v>2097.83808</v>
      </c>
      <c r="M108" s="59">
        <f t="shared" si="54"/>
        <v>2097.83808</v>
      </c>
      <c r="N108" s="59">
        <f t="shared" si="54"/>
        <v>2097.83808</v>
      </c>
      <c r="O108" s="60" t="s">
        <v>82</v>
      </c>
      <c r="P108" s="61">
        <v>0</v>
      </c>
    </row>
    <row r="111" spans="2:16" x14ac:dyDescent="0.25">
      <c r="B111" s="288" t="s">
        <v>142</v>
      </c>
      <c r="C111" s="288"/>
      <c r="D111" s="288"/>
      <c r="E111" s="288"/>
      <c r="F111" s="288"/>
      <c r="G111" s="288"/>
      <c r="H111" s="288"/>
      <c r="I111" s="288"/>
      <c r="J111" s="288"/>
      <c r="K111" s="288"/>
      <c r="L111" s="288"/>
      <c r="M111" s="288"/>
      <c r="N111" s="288"/>
      <c r="O111" s="288"/>
      <c r="P111" s="288"/>
    </row>
    <row r="112" spans="2:16" x14ac:dyDescent="0.25">
      <c r="B112" s="213"/>
      <c r="C112" s="215" t="s">
        <v>50</v>
      </c>
      <c r="D112" s="215" t="s">
        <v>51</v>
      </c>
      <c r="E112" s="215" t="s">
        <v>52</v>
      </c>
      <c r="F112" s="215" t="s">
        <v>53</v>
      </c>
      <c r="G112" s="215" t="s">
        <v>54</v>
      </c>
      <c r="H112" s="215" t="s">
        <v>55</v>
      </c>
      <c r="I112" s="215" t="s">
        <v>56</v>
      </c>
      <c r="J112" s="215" t="s">
        <v>57</v>
      </c>
      <c r="K112" s="215" t="s">
        <v>58</v>
      </c>
      <c r="L112" s="215" t="s">
        <v>59</v>
      </c>
      <c r="M112" s="215" t="s">
        <v>60</v>
      </c>
      <c r="N112" s="215" t="s">
        <v>61</v>
      </c>
      <c r="O112" s="220" t="s">
        <v>62</v>
      </c>
      <c r="P112" s="221"/>
    </row>
    <row r="113" spans="2:16" x14ac:dyDescent="0.25">
      <c r="B113" s="214"/>
      <c r="C113" s="216"/>
      <c r="D113" s="216"/>
      <c r="E113" s="216"/>
      <c r="F113" s="216"/>
      <c r="G113" s="216"/>
      <c r="H113" s="216"/>
      <c r="I113" s="216"/>
      <c r="J113" s="216"/>
      <c r="K113" s="216"/>
      <c r="L113" s="216"/>
      <c r="M113" s="216"/>
      <c r="N113" s="216"/>
      <c r="O113" s="58" t="s">
        <v>64</v>
      </c>
      <c r="P113" s="58" t="s">
        <v>65</v>
      </c>
    </row>
    <row r="114" spans="2:16" x14ac:dyDescent="0.25">
      <c r="B114" s="21" t="s">
        <v>84</v>
      </c>
      <c r="C114" s="21">
        <v>7100</v>
      </c>
      <c r="D114" s="21">
        <v>7100</v>
      </c>
      <c r="E114" s="21">
        <v>7100</v>
      </c>
      <c r="F114" s="21">
        <v>7100</v>
      </c>
      <c r="G114" s="21">
        <v>7100</v>
      </c>
      <c r="H114" s="21">
        <v>7100</v>
      </c>
      <c r="I114" s="21">
        <v>7100</v>
      </c>
      <c r="J114" s="21">
        <v>7100</v>
      </c>
      <c r="K114" s="21">
        <v>7100</v>
      </c>
      <c r="L114" s="21">
        <v>7100</v>
      </c>
      <c r="M114" s="21">
        <v>7100</v>
      </c>
      <c r="N114" s="22">
        <v>7100</v>
      </c>
      <c r="O114" s="60" t="s">
        <v>85</v>
      </c>
      <c r="P114" s="61">
        <f>SUM(C114:N114)</f>
        <v>85200</v>
      </c>
    </row>
    <row r="115" spans="2:16" x14ac:dyDescent="0.25">
      <c r="B115" s="21" t="s">
        <v>86</v>
      </c>
      <c r="C115" s="21">
        <f t="shared" ref="C115:N115" si="55">C114*20%</f>
        <v>1420</v>
      </c>
      <c r="D115" s="21">
        <f t="shared" si="55"/>
        <v>1420</v>
      </c>
      <c r="E115" s="21">
        <f t="shared" si="55"/>
        <v>1420</v>
      </c>
      <c r="F115" s="21">
        <f t="shared" si="55"/>
        <v>1420</v>
      </c>
      <c r="G115" s="21">
        <f t="shared" si="55"/>
        <v>1420</v>
      </c>
      <c r="H115" s="21">
        <f t="shared" si="55"/>
        <v>1420</v>
      </c>
      <c r="I115" s="21">
        <f t="shared" si="55"/>
        <v>1420</v>
      </c>
      <c r="J115" s="21">
        <f t="shared" si="55"/>
        <v>1420</v>
      </c>
      <c r="K115" s="21">
        <f t="shared" si="55"/>
        <v>1420</v>
      </c>
      <c r="L115" s="21">
        <f t="shared" si="55"/>
        <v>1420</v>
      </c>
      <c r="M115" s="21">
        <f t="shared" si="55"/>
        <v>1420</v>
      </c>
      <c r="N115" s="22">
        <f t="shared" si="55"/>
        <v>1420</v>
      </c>
      <c r="O115" s="47"/>
      <c r="P115" s="48"/>
    </row>
    <row r="116" spans="2:16" x14ac:dyDescent="0.25">
      <c r="B116" s="23" t="s">
        <v>87</v>
      </c>
      <c r="C116" s="23">
        <f t="shared" ref="C116:N116" si="56">C114+C115</f>
        <v>8520</v>
      </c>
      <c r="D116" s="23">
        <f t="shared" si="56"/>
        <v>8520</v>
      </c>
      <c r="E116" s="23">
        <f t="shared" si="56"/>
        <v>8520</v>
      </c>
      <c r="F116" s="23">
        <f t="shared" si="56"/>
        <v>8520</v>
      </c>
      <c r="G116" s="23">
        <f t="shared" si="56"/>
        <v>8520</v>
      </c>
      <c r="H116" s="23">
        <f t="shared" si="56"/>
        <v>8520</v>
      </c>
      <c r="I116" s="23">
        <f t="shared" si="56"/>
        <v>8520</v>
      </c>
      <c r="J116" s="23">
        <f t="shared" si="56"/>
        <v>8520</v>
      </c>
      <c r="K116" s="23">
        <f t="shared" si="56"/>
        <v>8520</v>
      </c>
      <c r="L116" s="23">
        <f t="shared" si="56"/>
        <v>8520</v>
      </c>
      <c r="M116" s="23">
        <f t="shared" si="56"/>
        <v>8520</v>
      </c>
      <c r="N116" s="25">
        <f t="shared" si="56"/>
        <v>8520</v>
      </c>
      <c r="O116" s="34"/>
      <c r="P116" s="34"/>
    </row>
    <row r="117" spans="2:16" x14ac:dyDescent="0.25">
      <c r="B117" s="59" t="s">
        <v>81</v>
      </c>
      <c r="C117" s="59">
        <f t="shared" ref="C117:N117" si="57">+C114+C115</f>
        <v>8520</v>
      </c>
      <c r="D117" s="59">
        <f t="shared" si="57"/>
        <v>8520</v>
      </c>
      <c r="E117" s="59">
        <f t="shared" si="57"/>
        <v>8520</v>
      </c>
      <c r="F117" s="59">
        <f t="shared" si="57"/>
        <v>8520</v>
      </c>
      <c r="G117" s="59">
        <f t="shared" si="57"/>
        <v>8520</v>
      </c>
      <c r="H117" s="59">
        <f t="shared" si="57"/>
        <v>8520</v>
      </c>
      <c r="I117" s="59">
        <f t="shared" si="57"/>
        <v>8520</v>
      </c>
      <c r="J117" s="59">
        <f t="shared" si="57"/>
        <v>8520</v>
      </c>
      <c r="K117" s="59">
        <f t="shared" si="57"/>
        <v>8520</v>
      </c>
      <c r="L117" s="59">
        <f t="shared" si="57"/>
        <v>8520</v>
      </c>
      <c r="M117" s="59">
        <f t="shared" si="57"/>
        <v>8520</v>
      </c>
      <c r="N117" s="59">
        <f t="shared" si="57"/>
        <v>8520</v>
      </c>
      <c r="O117" s="47"/>
      <c r="P117" s="34"/>
    </row>
    <row r="118" spans="2:16" x14ac:dyDescent="0.25">
      <c r="B118" s="28" t="s">
        <v>89</v>
      </c>
      <c r="C118" s="21"/>
      <c r="D118" s="21"/>
      <c r="E118" s="21"/>
      <c r="F118" s="21"/>
      <c r="G118" s="21"/>
      <c r="H118" s="21"/>
      <c r="I118" s="21"/>
      <c r="J118" s="21"/>
      <c r="K118" s="21"/>
      <c r="L118" s="21"/>
      <c r="M118" s="21"/>
      <c r="N118" s="22">
        <v>7500</v>
      </c>
      <c r="O118" s="34"/>
      <c r="P118" s="34"/>
    </row>
    <row r="119" spans="2:16" x14ac:dyDescent="0.25">
      <c r="B119" s="26" t="s">
        <v>144</v>
      </c>
      <c r="C119" s="27"/>
      <c r="D119" s="21"/>
      <c r="E119" s="21"/>
      <c r="F119" s="21"/>
      <c r="G119" s="21"/>
      <c r="H119" s="21"/>
      <c r="I119" s="21"/>
      <c r="J119" s="21"/>
      <c r="K119" s="21"/>
      <c r="L119" s="21"/>
      <c r="M119" s="21"/>
      <c r="N119" s="22">
        <f>Emprunt!K5</f>
        <v>3214.2857142857142</v>
      </c>
      <c r="O119" s="61" t="s">
        <v>144</v>
      </c>
      <c r="P119" s="61">
        <f>Emprunt!K5</f>
        <v>3214.2857142857142</v>
      </c>
    </row>
    <row r="120" spans="2:16" x14ac:dyDescent="0.25">
      <c r="B120" s="29" t="s">
        <v>145</v>
      </c>
      <c r="C120" s="21"/>
      <c r="D120" s="21"/>
      <c r="E120" s="21"/>
      <c r="F120" s="21"/>
      <c r="G120" s="21"/>
      <c r="H120" s="21"/>
      <c r="I120" s="21"/>
      <c r="J120" s="21"/>
      <c r="K120" s="21"/>
      <c r="L120" s="21"/>
      <c r="M120" s="21"/>
      <c r="N120" s="22">
        <f>Emprunt!K14</f>
        <v>991.66666666666674</v>
      </c>
      <c r="O120" s="61" t="s">
        <v>90</v>
      </c>
      <c r="P120" s="61">
        <f>N120</f>
        <v>991.66666666666674</v>
      </c>
    </row>
    <row r="121" spans="2:16" x14ac:dyDescent="0.25">
      <c r="B121" s="59" t="s">
        <v>94</v>
      </c>
      <c r="C121" s="59">
        <f t="shared" ref="C121:M121" si="58">C118+C119</f>
        <v>0</v>
      </c>
      <c r="D121" s="59">
        <f t="shared" si="58"/>
        <v>0</v>
      </c>
      <c r="E121" s="59">
        <f t="shared" si="58"/>
        <v>0</v>
      </c>
      <c r="F121" s="59">
        <f t="shared" si="58"/>
        <v>0</v>
      </c>
      <c r="G121" s="59">
        <f t="shared" si="58"/>
        <v>0</v>
      </c>
      <c r="H121" s="59">
        <f t="shared" si="58"/>
        <v>0</v>
      </c>
      <c r="I121" s="59">
        <f t="shared" si="58"/>
        <v>0</v>
      </c>
      <c r="J121" s="59">
        <f t="shared" si="58"/>
        <v>0</v>
      </c>
      <c r="K121" s="59">
        <f t="shared" si="58"/>
        <v>0</v>
      </c>
      <c r="L121" s="59">
        <f t="shared" si="58"/>
        <v>0</v>
      </c>
      <c r="M121" s="59">
        <f t="shared" si="58"/>
        <v>0</v>
      </c>
      <c r="N121" s="59">
        <f>N118+N119+N120</f>
        <v>11705.95238095238</v>
      </c>
      <c r="O121" s="60" t="s">
        <v>93</v>
      </c>
      <c r="P121" s="61">
        <f>SUM(C121:N121)</f>
        <v>11705.95238095238</v>
      </c>
    </row>
    <row r="122" spans="2:16" x14ac:dyDescent="0.25">
      <c r="B122" s="21" t="s">
        <v>95</v>
      </c>
      <c r="C122" s="21">
        <f t="shared" ref="C122:N122" si="59">307500/12</f>
        <v>25625</v>
      </c>
      <c r="D122" s="21">
        <f t="shared" si="59"/>
        <v>25625</v>
      </c>
      <c r="E122" s="21">
        <f t="shared" si="59"/>
        <v>25625</v>
      </c>
      <c r="F122" s="21">
        <f t="shared" si="59"/>
        <v>25625</v>
      </c>
      <c r="G122" s="21">
        <f t="shared" si="59"/>
        <v>25625</v>
      </c>
      <c r="H122" s="21">
        <f t="shared" si="59"/>
        <v>25625</v>
      </c>
      <c r="I122" s="21">
        <f t="shared" si="59"/>
        <v>25625</v>
      </c>
      <c r="J122" s="21">
        <f t="shared" si="59"/>
        <v>25625</v>
      </c>
      <c r="K122" s="21">
        <f t="shared" si="59"/>
        <v>25625</v>
      </c>
      <c r="L122" s="21">
        <f t="shared" si="59"/>
        <v>25625</v>
      </c>
      <c r="M122" s="21">
        <f t="shared" si="59"/>
        <v>25625</v>
      </c>
      <c r="N122" s="22">
        <f t="shared" si="59"/>
        <v>25625</v>
      </c>
      <c r="O122" s="47"/>
      <c r="P122" s="48"/>
    </row>
    <row r="123" spans="2:16" x14ac:dyDescent="0.25">
      <c r="B123" s="59" t="s">
        <v>96</v>
      </c>
      <c r="C123" s="59">
        <f t="shared" ref="C123:N123" si="60">C122</f>
        <v>25625</v>
      </c>
      <c r="D123" s="59">
        <f t="shared" si="60"/>
        <v>25625</v>
      </c>
      <c r="E123" s="59">
        <f t="shared" si="60"/>
        <v>25625</v>
      </c>
      <c r="F123" s="59">
        <f t="shared" si="60"/>
        <v>25625</v>
      </c>
      <c r="G123" s="59">
        <f t="shared" si="60"/>
        <v>25625</v>
      </c>
      <c r="H123" s="59">
        <f t="shared" si="60"/>
        <v>25625</v>
      </c>
      <c r="I123" s="59">
        <f t="shared" si="60"/>
        <v>25625</v>
      </c>
      <c r="J123" s="59">
        <f t="shared" si="60"/>
        <v>25625</v>
      </c>
      <c r="K123" s="59">
        <f t="shared" si="60"/>
        <v>25625</v>
      </c>
      <c r="L123" s="59">
        <f t="shared" si="60"/>
        <v>25625</v>
      </c>
      <c r="M123" s="59">
        <f t="shared" si="60"/>
        <v>25625</v>
      </c>
      <c r="N123" s="59">
        <f t="shared" si="60"/>
        <v>25625</v>
      </c>
      <c r="O123" s="60" t="s">
        <v>97</v>
      </c>
      <c r="P123" s="61">
        <f>SUM(C123:N123)</f>
        <v>307500</v>
      </c>
    </row>
    <row r="124" spans="2:16" x14ac:dyDescent="0.25">
      <c r="B124" s="21" t="s">
        <v>21</v>
      </c>
      <c r="C124" s="21">
        <f t="shared" ref="C124:N124" si="61">C122*0.4</f>
        <v>10250</v>
      </c>
      <c r="D124" s="21">
        <f t="shared" si="61"/>
        <v>10250</v>
      </c>
      <c r="E124" s="21">
        <f t="shared" si="61"/>
        <v>10250</v>
      </c>
      <c r="F124" s="21">
        <f t="shared" si="61"/>
        <v>10250</v>
      </c>
      <c r="G124" s="21">
        <f t="shared" si="61"/>
        <v>10250</v>
      </c>
      <c r="H124" s="21">
        <f t="shared" si="61"/>
        <v>10250</v>
      </c>
      <c r="I124" s="21">
        <f t="shared" si="61"/>
        <v>10250</v>
      </c>
      <c r="J124" s="21">
        <f t="shared" si="61"/>
        <v>10250</v>
      </c>
      <c r="K124" s="21">
        <f t="shared" si="61"/>
        <v>10250</v>
      </c>
      <c r="L124" s="21">
        <f t="shared" si="61"/>
        <v>10250</v>
      </c>
      <c r="M124" s="21">
        <f t="shared" si="61"/>
        <v>10250</v>
      </c>
      <c r="N124" s="22">
        <f t="shared" si="61"/>
        <v>10250</v>
      </c>
      <c r="O124" s="60" t="s">
        <v>98</v>
      </c>
      <c r="P124" s="61">
        <f>SUM(C124:N124)</f>
        <v>123000</v>
      </c>
    </row>
    <row r="125" spans="2:16" x14ac:dyDescent="0.25">
      <c r="B125" s="59" t="s">
        <v>99</v>
      </c>
      <c r="C125" s="59">
        <f>'Budget Prev 3 années SANS PRECO'!P121</f>
        <v>10250</v>
      </c>
      <c r="D125" s="59">
        <f t="shared" ref="D125:N125" si="62">C124</f>
        <v>10250</v>
      </c>
      <c r="E125" s="59">
        <f t="shared" si="62"/>
        <v>10250</v>
      </c>
      <c r="F125" s="59">
        <f t="shared" si="62"/>
        <v>10250</v>
      </c>
      <c r="G125" s="59">
        <f t="shared" si="62"/>
        <v>10250</v>
      </c>
      <c r="H125" s="59">
        <f t="shared" si="62"/>
        <v>10250</v>
      </c>
      <c r="I125" s="59">
        <f t="shared" si="62"/>
        <v>10250</v>
      </c>
      <c r="J125" s="59">
        <f t="shared" si="62"/>
        <v>10250</v>
      </c>
      <c r="K125" s="59">
        <f t="shared" si="62"/>
        <v>10250</v>
      </c>
      <c r="L125" s="59">
        <f t="shared" si="62"/>
        <v>10250</v>
      </c>
      <c r="M125" s="59">
        <f t="shared" si="62"/>
        <v>10250</v>
      </c>
      <c r="N125" s="59">
        <f t="shared" si="62"/>
        <v>10250</v>
      </c>
      <c r="O125" s="60" t="s">
        <v>100</v>
      </c>
      <c r="P125" s="61">
        <f>N124</f>
        <v>10250</v>
      </c>
    </row>
    <row r="128" spans="2:16" x14ac:dyDescent="0.25">
      <c r="B128" s="288" t="s">
        <v>147</v>
      </c>
      <c r="C128" s="288"/>
      <c r="D128" s="288"/>
      <c r="E128" s="288"/>
      <c r="F128" s="288"/>
      <c r="G128" s="288"/>
      <c r="H128" s="288"/>
      <c r="I128" s="288"/>
      <c r="J128" s="288"/>
      <c r="K128" s="288"/>
      <c r="L128" s="288"/>
      <c r="M128" s="288"/>
      <c r="N128" s="288"/>
      <c r="O128" s="288"/>
      <c r="P128" s="288"/>
    </row>
    <row r="129" spans="2:31" x14ac:dyDescent="0.25">
      <c r="B129" s="213"/>
      <c r="C129" s="215" t="s">
        <v>50</v>
      </c>
      <c r="D129" s="215" t="s">
        <v>51</v>
      </c>
      <c r="E129" s="215" t="s">
        <v>52</v>
      </c>
      <c r="F129" s="215" t="s">
        <v>53</v>
      </c>
      <c r="G129" s="215" t="s">
        <v>54</v>
      </c>
      <c r="H129" s="215" t="s">
        <v>55</v>
      </c>
      <c r="I129" s="215" t="s">
        <v>56</v>
      </c>
      <c r="J129" s="215" t="s">
        <v>57</v>
      </c>
      <c r="K129" s="215" t="s">
        <v>58</v>
      </c>
      <c r="L129" s="215" t="s">
        <v>59</v>
      </c>
      <c r="M129" s="215" t="s">
        <v>60</v>
      </c>
      <c r="N129" s="215" t="s">
        <v>61</v>
      </c>
      <c r="O129" s="220" t="s">
        <v>62</v>
      </c>
      <c r="P129" s="221"/>
    </row>
    <row r="130" spans="2:31" x14ac:dyDescent="0.25">
      <c r="B130" s="214"/>
      <c r="C130" s="216"/>
      <c r="D130" s="216"/>
      <c r="E130" s="216"/>
      <c r="F130" s="216"/>
      <c r="G130" s="216"/>
      <c r="H130" s="216"/>
      <c r="I130" s="216"/>
      <c r="J130" s="216"/>
      <c r="K130" s="216"/>
      <c r="L130" s="216"/>
      <c r="M130" s="216"/>
      <c r="N130" s="216"/>
      <c r="O130" s="58" t="s">
        <v>64</v>
      </c>
      <c r="P130" s="58" t="s">
        <v>65</v>
      </c>
    </row>
    <row r="131" spans="2:31" x14ac:dyDescent="0.25">
      <c r="B131" s="46" t="s">
        <v>102</v>
      </c>
      <c r="C131" s="35"/>
      <c r="D131" s="35"/>
      <c r="E131" s="35"/>
      <c r="F131" s="35"/>
      <c r="G131" s="35"/>
      <c r="H131" s="35"/>
      <c r="I131" s="35"/>
      <c r="J131" s="35"/>
      <c r="K131" s="35"/>
      <c r="L131" s="35">
        <v>8200</v>
      </c>
      <c r="M131" s="35"/>
      <c r="N131" s="35"/>
      <c r="O131" s="60" t="s">
        <v>103</v>
      </c>
      <c r="P131" s="61">
        <f>SUM(C131:N131)</f>
        <v>8200</v>
      </c>
    </row>
    <row r="132" spans="2:31" x14ac:dyDescent="0.25">
      <c r="B132" s="34" t="s">
        <v>105</v>
      </c>
      <c r="C132" s="34"/>
      <c r="D132" s="34"/>
      <c r="E132" s="34"/>
      <c r="F132" s="34"/>
      <c r="G132" s="34"/>
      <c r="H132" s="34"/>
      <c r="I132" s="34"/>
      <c r="J132" s="34"/>
      <c r="K132" s="34"/>
      <c r="L132" s="34">
        <v>8200</v>
      </c>
      <c r="M132" s="34"/>
      <c r="N132" s="34"/>
      <c r="O132" s="34"/>
      <c r="P132" s="34"/>
    </row>
    <row r="133" spans="2:31" x14ac:dyDescent="0.25">
      <c r="B133" s="34" t="s">
        <v>106</v>
      </c>
      <c r="C133" s="34">
        <f t="shared" ref="C133:N133" si="63">$P$133/12</f>
        <v>175</v>
      </c>
      <c r="D133" s="34">
        <f t="shared" si="63"/>
        <v>175</v>
      </c>
      <c r="E133" s="34">
        <f t="shared" si="63"/>
        <v>175</v>
      </c>
      <c r="F133" s="34">
        <f t="shared" si="63"/>
        <v>175</v>
      </c>
      <c r="G133" s="34">
        <f t="shared" si="63"/>
        <v>175</v>
      </c>
      <c r="H133" s="34">
        <f t="shared" si="63"/>
        <v>175</v>
      </c>
      <c r="I133" s="34">
        <f t="shared" si="63"/>
        <v>175</v>
      </c>
      <c r="J133" s="34">
        <f t="shared" si="63"/>
        <v>175</v>
      </c>
      <c r="K133" s="34">
        <f t="shared" si="63"/>
        <v>175</v>
      </c>
      <c r="L133" s="34">
        <f t="shared" si="63"/>
        <v>175</v>
      </c>
      <c r="M133" s="34">
        <f t="shared" si="63"/>
        <v>175</v>
      </c>
      <c r="N133" s="34">
        <f t="shared" si="63"/>
        <v>175</v>
      </c>
      <c r="O133" s="60" t="s">
        <v>107</v>
      </c>
      <c r="P133" s="61">
        <f>Informations!D27</f>
        <v>2100</v>
      </c>
    </row>
    <row r="134" spans="2:31" x14ac:dyDescent="0.25">
      <c r="B134" s="34" t="s">
        <v>108</v>
      </c>
      <c r="C134" s="34">
        <f t="shared" ref="C134:N134" si="64">$P$42/12</f>
        <v>5000</v>
      </c>
      <c r="D134" s="34">
        <f t="shared" si="64"/>
        <v>5000</v>
      </c>
      <c r="E134" s="34">
        <f t="shared" si="64"/>
        <v>5000</v>
      </c>
      <c r="F134" s="34">
        <f t="shared" si="64"/>
        <v>5000</v>
      </c>
      <c r="G134" s="34">
        <f t="shared" si="64"/>
        <v>5000</v>
      </c>
      <c r="H134" s="34">
        <f t="shared" si="64"/>
        <v>5000</v>
      </c>
      <c r="I134" s="34">
        <f t="shared" si="64"/>
        <v>5000</v>
      </c>
      <c r="J134" s="34">
        <f t="shared" si="64"/>
        <v>5000</v>
      </c>
      <c r="K134" s="34">
        <f t="shared" si="64"/>
        <v>5000</v>
      </c>
      <c r="L134" s="34">
        <f t="shared" si="64"/>
        <v>5000</v>
      </c>
      <c r="M134" s="34">
        <f t="shared" si="64"/>
        <v>5000</v>
      </c>
      <c r="N134" s="34">
        <f t="shared" si="64"/>
        <v>5000</v>
      </c>
      <c r="O134" s="60" t="s">
        <v>109</v>
      </c>
      <c r="P134" s="61">
        <f>Informations!E27</f>
        <v>60000</v>
      </c>
    </row>
    <row r="135" spans="2:31" x14ac:dyDescent="0.25">
      <c r="B135" s="59" t="s">
        <v>71</v>
      </c>
      <c r="C135" s="59">
        <f t="shared" ref="C135:N135" si="65">C133+C134</f>
        <v>5175</v>
      </c>
      <c r="D135" s="59">
        <f t="shared" si="65"/>
        <v>5175</v>
      </c>
      <c r="E135" s="59">
        <f t="shared" si="65"/>
        <v>5175</v>
      </c>
      <c r="F135" s="59">
        <f t="shared" si="65"/>
        <v>5175</v>
      </c>
      <c r="G135" s="59">
        <f t="shared" si="65"/>
        <v>5175</v>
      </c>
      <c r="H135" s="59">
        <f t="shared" si="65"/>
        <v>5175</v>
      </c>
      <c r="I135" s="59">
        <f t="shared" si="65"/>
        <v>5175</v>
      </c>
      <c r="J135" s="59">
        <f t="shared" si="65"/>
        <v>5175</v>
      </c>
      <c r="K135" s="59">
        <f t="shared" si="65"/>
        <v>5175</v>
      </c>
      <c r="L135" s="59">
        <f t="shared" si="65"/>
        <v>5175</v>
      </c>
      <c r="M135" s="59">
        <f t="shared" si="65"/>
        <v>5175</v>
      </c>
      <c r="N135" s="59">
        <f t="shared" si="65"/>
        <v>5175</v>
      </c>
      <c r="O135" s="38"/>
      <c r="P135" s="38"/>
    </row>
    <row r="138" spans="2:31" x14ac:dyDescent="0.25">
      <c r="B138" s="288" t="s">
        <v>148</v>
      </c>
      <c r="C138" s="288"/>
      <c r="D138" s="288"/>
      <c r="E138" s="288"/>
      <c r="F138" s="288"/>
      <c r="G138" s="288"/>
      <c r="H138" s="288"/>
      <c r="I138" s="288"/>
      <c r="J138" s="288"/>
      <c r="K138" s="288"/>
      <c r="L138" s="288"/>
      <c r="M138" s="288"/>
      <c r="N138" s="288"/>
      <c r="O138" s="288"/>
      <c r="P138" s="288"/>
    </row>
    <row r="139" spans="2:31" x14ac:dyDescent="0.25">
      <c r="B139" s="213"/>
      <c r="C139" s="215" t="s">
        <v>50</v>
      </c>
      <c r="D139" s="215" t="s">
        <v>51</v>
      </c>
      <c r="E139" s="215" t="s">
        <v>52</v>
      </c>
      <c r="F139" s="215" t="s">
        <v>53</v>
      </c>
      <c r="G139" s="215" t="s">
        <v>54</v>
      </c>
      <c r="H139" s="215" t="s">
        <v>55</v>
      </c>
      <c r="I139" s="215" t="s">
        <v>56</v>
      </c>
      <c r="J139" s="215" t="s">
        <v>57</v>
      </c>
      <c r="K139" s="215" t="s">
        <v>58</v>
      </c>
      <c r="L139" s="215" t="s">
        <v>59</v>
      </c>
      <c r="M139" s="215" t="s">
        <v>60</v>
      </c>
      <c r="N139" s="215" t="s">
        <v>61</v>
      </c>
      <c r="O139" s="220" t="s">
        <v>62</v>
      </c>
      <c r="P139" s="221"/>
    </row>
    <row r="140" spans="2:31" x14ac:dyDescent="0.25">
      <c r="B140" s="214"/>
      <c r="C140" s="216"/>
      <c r="D140" s="216"/>
      <c r="E140" s="216"/>
      <c r="F140" s="216"/>
      <c r="G140" s="216"/>
      <c r="H140" s="216"/>
      <c r="I140" s="216"/>
      <c r="J140" s="216"/>
      <c r="K140" s="216"/>
      <c r="L140" s="216"/>
      <c r="M140" s="216"/>
      <c r="N140" s="216"/>
      <c r="O140" s="58" t="s">
        <v>64</v>
      </c>
      <c r="P140" s="58" t="s">
        <v>65</v>
      </c>
    </row>
    <row r="141" spans="2:31" x14ac:dyDescent="0.25">
      <c r="B141" s="35" t="s">
        <v>111</v>
      </c>
      <c r="C141" s="35"/>
      <c r="D141" s="35"/>
      <c r="E141" s="35"/>
      <c r="F141" s="35"/>
      <c r="G141" s="35"/>
      <c r="H141" s="35">
        <f>Emprunt!J14</f>
        <v>17000</v>
      </c>
      <c r="I141" s="35"/>
      <c r="J141" s="35"/>
      <c r="K141" s="35"/>
      <c r="L141" s="35"/>
      <c r="M141" s="35"/>
      <c r="N141" s="35"/>
      <c r="O141" s="60" t="s">
        <v>112</v>
      </c>
      <c r="P141" s="61">
        <f>SUM(C141:N141)</f>
        <v>17000</v>
      </c>
    </row>
    <row r="142" spans="2:31" x14ac:dyDescent="0.25">
      <c r="B142" s="34" t="s">
        <v>113</v>
      </c>
      <c r="C142" s="34">
        <f t="shared" ref="C142:N142" si="66">C141*20%</f>
        <v>0</v>
      </c>
      <c r="D142" s="34">
        <f t="shared" si="66"/>
        <v>0</v>
      </c>
      <c r="E142" s="34">
        <f t="shared" si="66"/>
        <v>0</v>
      </c>
      <c r="F142" s="34">
        <f t="shared" si="66"/>
        <v>0</v>
      </c>
      <c r="G142" s="34">
        <f t="shared" si="66"/>
        <v>0</v>
      </c>
      <c r="H142" s="34">
        <f t="shared" si="66"/>
        <v>3400</v>
      </c>
      <c r="I142" s="34">
        <f t="shared" si="66"/>
        <v>0</v>
      </c>
      <c r="J142" s="34">
        <f t="shared" si="66"/>
        <v>0</v>
      </c>
      <c r="K142" s="34">
        <f t="shared" si="66"/>
        <v>0</v>
      </c>
      <c r="L142" s="34">
        <f t="shared" si="66"/>
        <v>0</v>
      </c>
      <c r="M142" s="34">
        <f t="shared" si="66"/>
        <v>0</v>
      </c>
      <c r="N142" s="34">
        <f t="shared" si="66"/>
        <v>0</v>
      </c>
      <c r="O142" s="34"/>
      <c r="P142" s="34"/>
    </row>
    <row r="143" spans="2:31" x14ac:dyDescent="0.25">
      <c r="B143" s="34" t="s">
        <v>114</v>
      </c>
      <c r="C143" s="34">
        <f t="shared" ref="C143:N143" si="67">C141+C142</f>
        <v>0</v>
      </c>
      <c r="D143" s="34">
        <f t="shared" si="67"/>
        <v>0</v>
      </c>
      <c r="E143" s="34">
        <f t="shared" si="67"/>
        <v>0</v>
      </c>
      <c r="F143" s="34">
        <f t="shared" si="67"/>
        <v>0</v>
      </c>
      <c r="G143" s="34">
        <f t="shared" si="67"/>
        <v>0</v>
      </c>
      <c r="H143" s="34">
        <f t="shared" si="67"/>
        <v>20400</v>
      </c>
      <c r="I143" s="34">
        <f t="shared" si="67"/>
        <v>0</v>
      </c>
      <c r="J143" s="34">
        <f t="shared" si="67"/>
        <v>0</v>
      </c>
      <c r="K143" s="34">
        <f t="shared" si="67"/>
        <v>0</v>
      </c>
      <c r="L143" s="34">
        <f t="shared" si="67"/>
        <v>0</v>
      </c>
      <c r="M143" s="34">
        <f t="shared" si="67"/>
        <v>0</v>
      </c>
      <c r="N143" s="34">
        <f t="shared" si="67"/>
        <v>0</v>
      </c>
      <c r="O143" s="34"/>
      <c r="P143" s="34"/>
      <c r="S143" s="283" t="s">
        <v>203</v>
      </c>
      <c r="T143" s="283" t="s">
        <v>50</v>
      </c>
      <c r="U143" s="283" t="s">
        <v>51</v>
      </c>
      <c r="V143" s="283" t="s">
        <v>52</v>
      </c>
      <c r="W143" s="283" t="s">
        <v>53</v>
      </c>
      <c r="X143" s="283" t="s">
        <v>54</v>
      </c>
      <c r="Y143" s="283" t="s">
        <v>55</v>
      </c>
      <c r="Z143" s="283" t="s">
        <v>56</v>
      </c>
      <c r="AA143" s="283" t="s">
        <v>57</v>
      </c>
      <c r="AB143" s="283" t="s">
        <v>58</v>
      </c>
      <c r="AC143" s="283" t="s">
        <v>59</v>
      </c>
      <c r="AD143" s="283" t="s">
        <v>60</v>
      </c>
      <c r="AE143" s="283" t="s">
        <v>61</v>
      </c>
    </row>
    <row r="144" spans="2:31" x14ac:dyDescent="0.25">
      <c r="B144" s="59" t="s">
        <v>81</v>
      </c>
      <c r="C144" s="59">
        <f t="shared" ref="C144:N144" si="68">C143</f>
        <v>0</v>
      </c>
      <c r="D144" s="59">
        <f t="shared" si="68"/>
        <v>0</v>
      </c>
      <c r="E144" s="59">
        <f t="shared" si="68"/>
        <v>0</v>
      </c>
      <c r="F144" s="59">
        <f t="shared" si="68"/>
        <v>0</v>
      </c>
      <c r="G144" s="59">
        <f t="shared" si="68"/>
        <v>0</v>
      </c>
      <c r="H144" s="59">
        <f t="shared" si="68"/>
        <v>20400</v>
      </c>
      <c r="I144" s="59">
        <f t="shared" si="68"/>
        <v>0</v>
      </c>
      <c r="J144" s="59">
        <f t="shared" si="68"/>
        <v>0</v>
      </c>
      <c r="K144" s="59">
        <f t="shared" si="68"/>
        <v>0</v>
      </c>
      <c r="L144" s="59">
        <f t="shared" si="68"/>
        <v>0</v>
      </c>
      <c r="M144" s="59">
        <f t="shared" si="68"/>
        <v>0</v>
      </c>
      <c r="N144" s="59">
        <f t="shared" si="68"/>
        <v>0</v>
      </c>
      <c r="O144" s="60" t="s">
        <v>220</v>
      </c>
      <c r="P144" s="61">
        <v>0</v>
      </c>
      <c r="S144" s="283"/>
      <c r="T144" s="283"/>
      <c r="U144" s="283"/>
      <c r="V144" s="283"/>
      <c r="W144" s="283"/>
      <c r="X144" s="283"/>
      <c r="Y144" s="283"/>
      <c r="Z144" s="283"/>
      <c r="AA144" s="283"/>
      <c r="AB144" s="283"/>
      <c r="AC144" s="283"/>
      <c r="AD144" s="283"/>
      <c r="AE144" s="283"/>
    </row>
    <row r="145" spans="2:31" x14ac:dyDescent="0.25">
      <c r="C145" s="20" t="s">
        <v>149</v>
      </c>
      <c r="S145" s="59" t="s">
        <v>204</v>
      </c>
      <c r="T145" s="59">
        <f t="shared" ref="T145:AE145" si="69">C164</f>
        <v>6364.8</v>
      </c>
      <c r="U145" s="59">
        <f t="shared" si="69"/>
        <v>6555.7439999999997</v>
      </c>
      <c r="V145" s="59">
        <f t="shared" si="69"/>
        <v>6555.7439999999997</v>
      </c>
      <c r="W145" s="59">
        <f t="shared" si="69"/>
        <v>6555.7439999999997</v>
      </c>
      <c r="X145" s="59">
        <f t="shared" si="69"/>
        <v>6555.7439999999997</v>
      </c>
      <c r="Y145" s="59">
        <f t="shared" si="69"/>
        <v>6555.7439999999997</v>
      </c>
      <c r="Z145" s="59">
        <f t="shared" si="69"/>
        <v>6555.7439999999997</v>
      </c>
      <c r="AA145" s="59">
        <f t="shared" si="69"/>
        <v>6555.7439999999997</v>
      </c>
      <c r="AB145" s="59">
        <f t="shared" si="69"/>
        <v>6555.7439999999997</v>
      </c>
      <c r="AC145" s="59">
        <f t="shared" si="69"/>
        <v>6555.7439999999997</v>
      </c>
      <c r="AD145" s="59">
        <f t="shared" si="69"/>
        <v>6555.7439999999997</v>
      </c>
      <c r="AE145" s="59">
        <f t="shared" si="69"/>
        <v>6555.7439999999997</v>
      </c>
    </row>
    <row r="146" spans="2:31" x14ac:dyDescent="0.25">
      <c r="S146" s="34" t="s">
        <v>205</v>
      </c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4"/>
      <c r="AE146" s="34"/>
    </row>
    <row r="147" spans="2:31" x14ac:dyDescent="0.25">
      <c r="B147" s="288" t="s">
        <v>150</v>
      </c>
      <c r="C147" s="288"/>
      <c r="D147" s="288"/>
      <c r="E147" s="288"/>
      <c r="F147" s="288"/>
      <c r="G147" s="288"/>
      <c r="H147" s="288"/>
      <c r="I147" s="288"/>
      <c r="J147" s="288"/>
      <c r="K147" s="288"/>
      <c r="L147" s="288"/>
      <c r="M147" s="288"/>
      <c r="N147" s="288"/>
      <c r="O147" s="288"/>
      <c r="P147" s="288"/>
      <c r="S147" s="34" t="s">
        <v>206</v>
      </c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4"/>
      <c r="AE147" s="34"/>
    </row>
    <row r="148" spans="2:31" x14ac:dyDescent="0.25">
      <c r="B148" s="213"/>
      <c r="C148" s="215" t="s">
        <v>50</v>
      </c>
      <c r="D148" s="215" t="s">
        <v>51</v>
      </c>
      <c r="E148" s="215" t="s">
        <v>52</v>
      </c>
      <c r="F148" s="215" t="s">
        <v>53</v>
      </c>
      <c r="G148" s="215" t="s">
        <v>54</v>
      </c>
      <c r="H148" s="215" t="s">
        <v>55</v>
      </c>
      <c r="I148" s="215" t="s">
        <v>56</v>
      </c>
      <c r="J148" s="215" t="s">
        <v>57</v>
      </c>
      <c r="K148" s="215" t="s">
        <v>58</v>
      </c>
      <c r="L148" s="215" t="s">
        <v>59</v>
      </c>
      <c r="M148" s="215" t="s">
        <v>60</v>
      </c>
      <c r="N148" s="215" t="s">
        <v>61</v>
      </c>
      <c r="O148" s="220" t="s">
        <v>62</v>
      </c>
      <c r="P148" s="221"/>
      <c r="S148" s="34" t="s">
        <v>207</v>
      </c>
      <c r="T148" s="34">
        <v>308</v>
      </c>
      <c r="U148" s="34">
        <v>1407</v>
      </c>
      <c r="V148" s="34">
        <v>1485</v>
      </c>
      <c r="W148" s="34">
        <v>1490</v>
      </c>
      <c r="X148" s="34">
        <v>1490</v>
      </c>
      <c r="Y148" s="34">
        <v>21891</v>
      </c>
      <c r="Z148" s="34"/>
      <c r="AA148" s="34">
        <v>904</v>
      </c>
      <c r="AB148" s="34">
        <v>1449</v>
      </c>
      <c r="AC148" s="34">
        <v>9688</v>
      </c>
      <c r="AD148" s="34">
        <v>2064</v>
      </c>
      <c r="AE148" s="34">
        <v>1531</v>
      </c>
    </row>
    <row r="149" spans="2:31" x14ac:dyDescent="0.25">
      <c r="B149" s="214"/>
      <c r="C149" s="216"/>
      <c r="D149" s="216"/>
      <c r="E149" s="216"/>
      <c r="F149" s="216"/>
      <c r="G149" s="216"/>
      <c r="H149" s="216"/>
      <c r="I149" s="216"/>
      <c r="J149" s="216"/>
      <c r="K149" s="216"/>
      <c r="L149" s="216"/>
      <c r="M149" s="216"/>
      <c r="N149" s="216"/>
      <c r="O149" s="58" t="s">
        <v>64</v>
      </c>
      <c r="P149" s="58" t="s">
        <v>65</v>
      </c>
      <c r="S149" s="59" t="s">
        <v>210</v>
      </c>
      <c r="T149" s="59">
        <f t="shared" ref="T149:AE149" si="70">T145+T148</f>
        <v>6672.8</v>
      </c>
      <c r="U149" s="59">
        <f t="shared" si="70"/>
        <v>7962.7439999999997</v>
      </c>
      <c r="V149" s="59">
        <f t="shared" si="70"/>
        <v>8040.7439999999997</v>
      </c>
      <c r="W149" s="59">
        <f t="shared" si="70"/>
        <v>8045.7439999999997</v>
      </c>
      <c r="X149" s="59">
        <f t="shared" si="70"/>
        <v>8045.7439999999997</v>
      </c>
      <c r="Y149" s="59">
        <f t="shared" si="70"/>
        <v>28446.743999999999</v>
      </c>
      <c r="Z149" s="59">
        <f t="shared" si="70"/>
        <v>6555.7439999999997</v>
      </c>
      <c r="AA149" s="59">
        <f>AA145+AA148</f>
        <v>7459.7439999999997</v>
      </c>
      <c r="AB149" s="59">
        <f t="shared" si="70"/>
        <v>8004.7439999999997</v>
      </c>
      <c r="AC149" s="59">
        <f t="shared" si="70"/>
        <v>16243.743999999999</v>
      </c>
      <c r="AD149" s="59">
        <f t="shared" si="70"/>
        <v>8619.7439999999988</v>
      </c>
      <c r="AE149" s="59">
        <f t="shared" si="70"/>
        <v>8086.7439999999997</v>
      </c>
    </row>
    <row r="150" spans="2:31" x14ac:dyDescent="0.25">
      <c r="B150" s="59" t="s">
        <v>68</v>
      </c>
      <c r="C150" s="59">
        <f t="shared" ref="C150:N150" si="71">C97</f>
        <v>1092.624</v>
      </c>
      <c r="D150" s="59">
        <f t="shared" si="71"/>
        <v>1092.624</v>
      </c>
      <c r="E150" s="59">
        <f t="shared" si="71"/>
        <v>1092.624</v>
      </c>
      <c r="F150" s="59">
        <f t="shared" si="71"/>
        <v>1092.624</v>
      </c>
      <c r="G150" s="59">
        <f t="shared" si="71"/>
        <v>1092.624</v>
      </c>
      <c r="H150" s="59">
        <f t="shared" si="71"/>
        <v>1092.624</v>
      </c>
      <c r="I150" s="59">
        <f t="shared" si="71"/>
        <v>1092.624</v>
      </c>
      <c r="J150" s="59">
        <f t="shared" si="71"/>
        <v>1092.624</v>
      </c>
      <c r="K150" s="59">
        <f t="shared" si="71"/>
        <v>1092.624</v>
      </c>
      <c r="L150" s="59">
        <f t="shared" si="71"/>
        <v>1092.624</v>
      </c>
      <c r="M150" s="59">
        <f t="shared" si="71"/>
        <v>1092.624</v>
      </c>
      <c r="N150" s="59">
        <f t="shared" si="71"/>
        <v>1092.624</v>
      </c>
      <c r="O150" s="34"/>
      <c r="P150" s="34"/>
      <c r="S150" s="34" t="s">
        <v>211</v>
      </c>
      <c r="T150" s="34">
        <f t="shared" ref="T150:AE150" si="72">C174</f>
        <v>50990.398079999999</v>
      </c>
      <c r="U150" s="34">
        <f t="shared" si="72"/>
        <v>50990.822400000005</v>
      </c>
      <c r="V150" s="34">
        <f t="shared" si="72"/>
        <v>50990.822400000005</v>
      </c>
      <c r="W150" s="34">
        <f t="shared" si="72"/>
        <v>50990.822400000005</v>
      </c>
      <c r="X150" s="34">
        <f t="shared" si="72"/>
        <v>50990.822400000005</v>
      </c>
      <c r="Y150" s="34">
        <f t="shared" si="72"/>
        <v>71390.822400000005</v>
      </c>
      <c r="Z150" s="34">
        <f t="shared" si="72"/>
        <v>47590.822400000005</v>
      </c>
      <c r="AA150" s="34">
        <f t="shared" si="72"/>
        <v>50990.822400000005</v>
      </c>
      <c r="AB150" s="34">
        <f t="shared" si="72"/>
        <v>50990.822400000005</v>
      </c>
      <c r="AC150" s="34">
        <f t="shared" si="72"/>
        <v>59190.822400000005</v>
      </c>
      <c r="AD150" s="34">
        <f t="shared" si="72"/>
        <v>50990.822400000005</v>
      </c>
      <c r="AE150" s="34">
        <f t="shared" si="72"/>
        <v>50990.822400000005</v>
      </c>
    </row>
    <row r="151" spans="2:31" x14ac:dyDescent="0.25">
      <c r="B151" s="34" t="s">
        <v>79</v>
      </c>
      <c r="C151" s="34">
        <f t="shared" ref="C151:N151" si="73">C106</f>
        <v>349.63968</v>
      </c>
      <c r="D151" s="34">
        <f t="shared" si="73"/>
        <v>349.63968</v>
      </c>
      <c r="E151" s="34">
        <f t="shared" si="73"/>
        <v>349.63968</v>
      </c>
      <c r="F151" s="34">
        <f t="shared" si="73"/>
        <v>349.63968</v>
      </c>
      <c r="G151" s="34">
        <f t="shared" si="73"/>
        <v>349.63968</v>
      </c>
      <c r="H151" s="34">
        <f t="shared" si="73"/>
        <v>349.63968</v>
      </c>
      <c r="I151" s="34">
        <f t="shared" si="73"/>
        <v>349.63968</v>
      </c>
      <c r="J151" s="34">
        <f t="shared" si="73"/>
        <v>349.63968</v>
      </c>
      <c r="K151" s="34">
        <f t="shared" si="73"/>
        <v>349.63968</v>
      </c>
      <c r="L151" s="34">
        <f t="shared" si="73"/>
        <v>349.63968</v>
      </c>
      <c r="M151" s="34">
        <f t="shared" si="73"/>
        <v>349.63968</v>
      </c>
      <c r="N151" s="34">
        <f t="shared" si="73"/>
        <v>349.63968</v>
      </c>
      <c r="O151" s="34"/>
      <c r="P151" s="34"/>
      <c r="S151" s="34" t="s">
        <v>212</v>
      </c>
      <c r="T151" s="34">
        <f>AE51*1.07</f>
        <v>1136.3400000000001</v>
      </c>
      <c r="U151" s="34">
        <f t="shared" ref="U151:AE151" si="74">T148*0.07</f>
        <v>21.560000000000002</v>
      </c>
      <c r="V151" s="34">
        <f t="shared" si="74"/>
        <v>98.490000000000009</v>
      </c>
      <c r="W151" s="34">
        <f t="shared" si="74"/>
        <v>103.95</v>
      </c>
      <c r="X151" s="34">
        <f t="shared" si="74"/>
        <v>104.30000000000001</v>
      </c>
      <c r="Y151" s="34">
        <f t="shared" si="74"/>
        <v>104.30000000000001</v>
      </c>
      <c r="Z151" s="34">
        <f t="shared" si="74"/>
        <v>1532.3700000000001</v>
      </c>
      <c r="AA151" s="34">
        <f t="shared" si="74"/>
        <v>0</v>
      </c>
      <c r="AB151" s="34">
        <f>AA148*0.07</f>
        <v>63.280000000000008</v>
      </c>
      <c r="AC151" s="34">
        <f t="shared" si="74"/>
        <v>101.43</v>
      </c>
      <c r="AD151" s="34">
        <f t="shared" si="74"/>
        <v>678.16000000000008</v>
      </c>
      <c r="AE151" s="34">
        <f t="shared" si="74"/>
        <v>144.48000000000002</v>
      </c>
    </row>
    <row r="152" spans="2:31" x14ac:dyDescent="0.25">
      <c r="B152" s="34" t="s">
        <v>86</v>
      </c>
      <c r="C152" s="34">
        <f t="shared" ref="C152:N152" si="75">C115</f>
        <v>1420</v>
      </c>
      <c r="D152" s="34">
        <f t="shared" si="75"/>
        <v>1420</v>
      </c>
      <c r="E152" s="34">
        <f t="shared" si="75"/>
        <v>1420</v>
      </c>
      <c r="F152" s="34">
        <f t="shared" si="75"/>
        <v>1420</v>
      </c>
      <c r="G152" s="34">
        <f t="shared" si="75"/>
        <v>1420</v>
      </c>
      <c r="H152" s="34">
        <f t="shared" si="75"/>
        <v>1420</v>
      </c>
      <c r="I152" s="34">
        <f t="shared" si="75"/>
        <v>1420</v>
      </c>
      <c r="J152" s="34">
        <f t="shared" si="75"/>
        <v>1420</v>
      </c>
      <c r="K152" s="34">
        <f t="shared" si="75"/>
        <v>1420</v>
      </c>
      <c r="L152" s="34">
        <f t="shared" si="75"/>
        <v>1420</v>
      </c>
      <c r="M152" s="34">
        <f t="shared" si="75"/>
        <v>1420</v>
      </c>
      <c r="N152" s="34">
        <f t="shared" si="75"/>
        <v>1420</v>
      </c>
      <c r="O152" s="34"/>
      <c r="P152" s="34"/>
      <c r="S152" s="59" t="s">
        <v>213</v>
      </c>
      <c r="T152" s="59">
        <f t="shared" ref="T152:AE152" si="76">T150+T151</f>
        <v>52126.738079999996</v>
      </c>
      <c r="U152" s="59">
        <f t="shared" si="76"/>
        <v>51012.382400000002</v>
      </c>
      <c r="V152" s="59">
        <f t="shared" si="76"/>
        <v>51089.312400000003</v>
      </c>
      <c r="W152" s="59">
        <f t="shared" si="76"/>
        <v>51094.772400000002</v>
      </c>
      <c r="X152" s="59">
        <f t="shared" si="76"/>
        <v>51095.122400000007</v>
      </c>
      <c r="Y152" s="59">
        <f t="shared" si="76"/>
        <v>71495.122400000007</v>
      </c>
      <c r="Z152" s="59">
        <f t="shared" si="76"/>
        <v>49123.192400000007</v>
      </c>
      <c r="AA152" s="59">
        <f t="shared" si="76"/>
        <v>50990.822400000005</v>
      </c>
      <c r="AB152" s="59">
        <f t="shared" si="76"/>
        <v>51054.102400000003</v>
      </c>
      <c r="AC152" s="59">
        <f t="shared" si="76"/>
        <v>59292.252400000005</v>
      </c>
      <c r="AD152" s="59">
        <f t="shared" si="76"/>
        <v>51668.982400000008</v>
      </c>
      <c r="AE152" s="59">
        <f t="shared" si="76"/>
        <v>51135.302400000008</v>
      </c>
    </row>
    <row r="153" spans="2:31" x14ac:dyDescent="0.25">
      <c r="B153" s="59" t="s">
        <v>113</v>
      </c>
      <c r="C153" s="59">
        <f t="shared" ref="C153:N153" si="77">C142</f>
        <v>0</v>
      </c>
      <c r="D153" s="59">
        <f t="shared" si="77"/>
        <v>0</v>
      </c>
      <c r="E153" s="59">
        <f t="shared" si="77"/>
        <v>0</v>
      </c>
      <c r="F153" s="59">
        <f t="shared" si="77"/>
        <v>0</v>
      </c>
      <c r="G153" s="59">
        <f t="shared" si="77"/>
        <v>0</v>
      </c>
      <c r="H153" s="59">
        <f t="shared" si="77"/>
        <v>3400</v>
      </c>
      <c r="I153" s="59">
        <f t="shared" si="77"/>
        <v>0</v>
      </c>
      <c r="J153" s="59">
        <f t="shared" si="77"/>
        <v>0</v>
      </c>
      <c r="K153" s="59">
        <f t="shared" si="77"/>
        <v>0</v>
      </c>
      <c r="L153" s="59">
        <f t="shared" si="77"/>
        <v>0</v>
      </c>
      <c r="M153" s="59">
        <f t="shared" si="77"/>
        <v>0</v>
      </c>
      <c r="N153" s="59">
        <f t="shared" si="77"/>
        <v>0</v>
      </c>
      <c r="O153" s="34"/>
      <c r="P153" s="34"/>
      <c r="S153" s="34" t="s">
        <v>132</v>
      </c>
      <c r="T153" s="34">
        <f>AE58</f>
        <v>-446529.15</v>
      </c>
      <c r="U153" s="34">
        <f t="shared" ref="U153:AE153" si="78">T155</f>
        <v>-491983.08808000002</v>
      </c>
      <c r="V153" s="34">
        <f t="shared" si="78"/>
        <v>-535032.72648000007</v>
      </c>
      <c r="W153" s="34">
        <f t="shared" si="78"/>
        <v>-578081.29488000006</v>
      </c>
      <c r="X153" s="34">
        <f t="shared" si="78"/>
        <v>-621130.32328000001</v>
      </c>
      <c r="Y153" s="34">
        <f t="shared" si="78"/>
        <v>-664179.70168000006</v>
      </c>
      <c r="Z153" s="34">
        <f t="shared" si="78"/>
        <v>-707228.0800800001</v>
      </c>
      <c r="AA153" s="34">
        <f t="shared" si="78"/>
        <v>-749795.5284800001</v>
      </c>
      <c r="AB153" s="34">
        <f t="shared" si="78"/>
        <v>-793326.60688000009</v>
      </c>
      <c r="AC153" s="34">
        <f t="shared" si="78"/>
        <v>-836375.96528000012</v>
      </c>
      <c r="AD153" s="34">
        <f t="shared" si="78"/>
        <v>-879424.47368000017</v>
      </c>
      <c r="AE153" s="34">
        <f t="shared" si="78"/>
        <v>-922473.7120800002</v>
      </c>
    </row>
    <row r="154" spans="2:31" x14ac:dyDescent="0.25">
      <c r="B154" s="44" t="s">
        <v>117</v>
      </c>
      <c r="C154" s="42">
        <f t="shared" ref="C154:N154" si="79">C151+C152+C153</f>
        <v>1769.63968</v>
      </c>
      <c r="D154" s="42">
        <f t="shared" si="79"/>
        <v>1769.63968</v>
      </c>
      <c r="E154" s="42">
        <f t="shared" si="79"/>
        <v>1769.63968</v>
      </c>
      <c r="F154" s="42">
        <f t="shared" si="79"/>
        <v>1769.63968</v>
      </c>
      <c r="G154" s="42">
        <f t="shared" si="79"/>
        <v>1769.63968</v>
      </c>
      <c r="H154" s="42">
        <f t="shared" si="79"/>
        <v>5169.6396800000002</v>
      </c>
      <c r="I154" s="42">
        <f t="shared" si="79"/>
        <v>1769.63968</v>
      </c>
      <c r="J154" s="42">
        <f t="shared" si="79"/>
        <v>1769.63968</v>
      </c>
      <c r="K154" s="42">
        <f t="shared" si="79"/>
        <v>1769.63968</v>
      </c>
      <c r="L154" s="42">
        <f t="shared" si="79"/>
        <v>1769.63968</v>
      </c>
      <c r="M154" s="42">
        <f t="shared" si="79"/>
        <v>1769.63968</v>
      </c>
      <c r="N154" s="42">
        <f t="shared" si="79"/>
        <v>1769.63968</v>
      </c>
      <c r="O154" s="34"/>
      <c r="P154" s="34"/>
      <c r="S154" s="34" t="s">
        <v>133</v>
      </c>
      <c r="T154" s="34">
        <f t="shared" ref="T154:AE154" si="80">T149-T152</f>
        <v>-45453.938079999993</v>
      </c>
      <c r="U154" s="34">
        <f t="shared" si="80"/>
        <v>-43049.638400000003</v>
      </c>
      <c r="V154" s="34">
        <f t="shared" si="80"/>
        <v>-43048.568400000004</v>
      </c>
      <c r="W154" s="34">
        <f t="shared" si="80"/>
        <v>-43049.028400000003</v>
      </c>
      <c r="X154" s="34">
        <f t="shared" si="80"/>
        <v>-43049.378400000009</v>
      </c>
      <c r="Y154" s="34">
        <f t="shared" si="80"/>
        <v>-43048.378400000009</v>
      </c>
      <c r="Z154" s="34">
        <f t="shared" si="80"/>
        <v>-42567.448400000008</v>
      </c>
      <c r="AA154" s="34">
        <f>AA149-AA152</f>
        <v>-43531.078400000006</v>
      </c>
      <c r="AB154" s="34">
        <f t="shared" si="80"/>
        <v>-43049.358400000005</v>
      </c>
      <c r="AC154" s="34">
        <f t="shared" si="80"/>
        <v>-43048.508400000006</v>
      </c>
      <c r="AD154" s="34">
        <f t="shared" si="80"/>
        <v>-43049.238400000009</v>
      </c>
      <c r="AE154" s="34">
        <f t="shared" si="80"/>
        <v>-43048.558400000009</v>
      </c>
    </row>
    <row r="155" spans="2:31" x14ac:dyDescent="0.25">
      <c r="B155" s="45" t="s">
        <v>118</v>
      </c>
      <c r="C155" s="43">
        <f t="shared" ref="C155:N155" si="81">C150-C154</f>
        <v>-677.01567999999997</v>
      </c>
      <c r="D155" s="43">
        <f t="shared" si="81"/>
        <v>-677.01567999999997</v>
      </c>
      <c r="E155" s="43">
        <f t="shared" si="81"/>
        <v>-677.01567999999997</v>
      </c>
      <c r="F155" s="43">
        <f t="shared" si="81"/>
        <v>-677.01567999999997</v>
      </c>
      <c r="G155" s="43">
        <f t="shared" si="81"/>
        <v>-677.01567999999997</v>
      </c>
      <c r="H155" s="43">
        <f t="shared" si="81"/>
        <v>-4077.0156800000004</v>
      </c>
      <c r="I155" s="43">
        <f t="shared" si="81"/>
        <v>-677.01567999999997</v>
      </c>
      <c r="J155" s="43">
        <f t="shared" si="81"/>
        <v>-677.01567999999997</v>
      </c>
      <c r="K155" s="43">
        <f t="shared" si="81"/>
        <v>-677.01567999999997</v>
      </c>
      <c r="L155" s="43">
        <f t="shared" si="81"/>
        <v>-677.01567999999997</v>
      </c>
      <c r="M155" s="43">
        <f t="shared" si="81"/>
        <v>-677.01567999999997</v>
      </c>
      <c r="N155" s="43">
        <f t="shared" si="81"/>
        <v>-677.01567999999997</v>
      </c>
      <c r="O155" s="34"/>
      <c r="P155" s="34"/>
      <c r="S155" s="34" t="s">
        <v>214</v>
      </c>
      <c r="T155" s="34">
        <f t="shared" ref="T155:AE155" si="82">T153+T154</f>
        <v>-491983.08808000002</v>
      </c>
      <c r="U155" s="34">
        <f t="shared" si="82"/>
        <v>-535032.72648000007</v>
      </c>
      <c r="V155" s="34">
        <f t="shared" si="82"/>
        <v>-578081.29488000006</v>
      </c>
      <c r="W155" s="34">
        <f t="shared" si="82"/>
        <v>-621130.32328000001</v>
      </c>
      <c r="X155" s="34">
        <f t="shared" si="82"/>
        <v>-664179.70168000006</v>
      </c>
      <c r="Y155" s="34">
        <f t="shared" si="82"/>
        <v>-707228.0800800001</v>
      </c>
      <c r="Z155" s="34">
        <f t="shared" si="82"/>
        <v>-749795.5284800001</v>
      </c>
      <c r="AA155" s="34">
        <f t="shared" si="82"/>
        <v>-793326.60688000009</v>
      </c>
      <c r="AB155" s="34">
        <f t="shared" si="82"/>
        <v>-836375.96528000012</v>
      </c>
      <c r="AC155" s="34">
        <f t="shared" si="82"/>
        <v>-879424.47368000017</v>
      </c>
      <c r="AD155" s="34">
        <f t="shared" si="82"/>
        <v>-922473.7120800002</v>
      </c>
      <c r="AE155" s="34">
        <f t="shared" si="82"/>
        <v>-965522.27048000018</v>
      </c>
    </row>
    <row r="156" spans="2:31" x14ac:dyDescent="0.25">
      <c r="B156" s="59" t="s">
        <v>81</v>
      </c>
      <c r="C156" s="59">
        <f>P65</f>
        <v>-677.44</v>
      </c>
      <c r="D156" s="59">
        <f t="shared" ref="D156:N156" si="83">C155</f>
        <v>-677.01567999999997</v>
      </c>
      <c r="E156" s="59">
        <f t="shared" si="83"/>
        <v>-677.01567999999997</v>
      </c>
      <c r="F156" s="59">
        <f t="shared" si="83"/>
        <v>-677.01567999999997</v>
      </c>
      <c r="G156" s="59">
        <f t="shared" si="83"/>
        <v>-677.01567999999997</v>
      </c>
      <c r="H156" s="59">
        <f t="shared" si="83"/>
        <v>-677.01567999999997</v>
      </c>
      <c r="I156" s="59">
        <f t="shared" si="83"/>
        <v>-4077.0156800000004</v>
      </c>
      <c r="J156" s="59">
        <f t="shared" si="83"/>
        <v>-677.01567999999997</v>
      </c>
      <c r="K156" s="59">
        <f t="shared" si="83"/>
        <v>-677.01567999999997</v>
      </c>
      <c r="L156" s="59">
        <f t="shared" si="83"/>
        <v>-677.01567999999997</v>
      </c>
      <c r="M156" s="59">
        <f t="shared" si="83"/>
        <v>-677.01567999999997</v>
      </c>
      <c r="N156" s="59">
        <f t="shared" si="83"/>
        <v>-677.01567999999997</v>
      </c>
      <c r="O156" s="60" t="s">
        <v>119</v>
      </c>
      <c r="P156" s="61">
        <f>N155</f>
        <v>-677.01567999999997</v>
      </c>
    </row>
    <row r="159" spans="2:31" x14ac:dyDescent="0.25">
      <c r="B159" s="288" t="s">
        <v>151</v>
      </c>
      <c r="C159" s="288"/>
      <c r="D159" s="288"/>
      <c r="E159" s="288"/>
      <c r="F159" s="288"/>
      <c r="G159" s="288"/>
      <c r="H159" s="288"/>
      <c r="I159" s="288"/>
      <c r="J159" s="288"/>
      <c r="K159" s="288"/>
      <c r="L159" s="288"/>
      <c r="M159" s="288"/>
      <c r="N159" s="288"/>
      <c r="O159" s="288"/>
      <c r="P159" s="288"/>
      <c r="S159" s="228" t="s">
        <v>138</v>
      </c>
      <c r="T159" s="229"/>
      <c r="V159" s="224" t="s">
        <v>222</v>
      </c>
      <c r="W159" s="224"/>
      <c r="X159" s="224"/>
      <c r="Y159" s="224"/>
      <c r="Z159" s="224"/>
      <c r="AA159" s="224"/>
    </row>
    <row r="160" spans="2:31" ht="30" x14ac:dyDescent="0.25">
      <c r="B160" s="213"/>
      <c r="C160" s="215" t="s">
        <v>50</v>
      </c>
      <c r="D160" s="215" t="s">
        <v>51</v>
      </c>
      <c r="E160" s="215" t="s">
        <v>52</v>
      </c>
      <c r="F160" s="215" t="s">
        <v>53</v>
      </c>
      <c r="G160" s="215" t="s">
        <v>54</v>
      </c>
      <c r="H160" s="215" t="s">
        <v>55</v>
      </c>
      <c r="I160" s="215" t="s">
        <v>56</v>
      </c>
      <c r="J160" s="215" t="s">
        <v>57</v>
      </c>
      <c r="K160" s="215" t="s">
        <v>58</v>
      </c>
      <c r="L160" s="215" t="s">
        <v>59</v>
      </c>
      <c r="M160" s="215" t="s">
        <v>60</v>
      </c>
      <c r="N160" s="215" t="s">
        <v>61</v>
      </c>
      <c r="O160" s="220" t="s">
        <v>62</v>
      </c>
      <c r="P160" s="221"/>
      <c r="S160" s="143" t="s">
        <v>1</v>
      </c>
      <c r="T160" s="21">
        <f>P96</f>
        <v>65557.440000000017</v>
      </c>
      <c r="V160" s="144" t="s">
        <v>2</v>
      </c>
      <c r="W160" s="145" t="s">
        <v>3</v>
      </c>
      <c r="X160" s="145" t="s">
        <v>4</v>
      </c>
      <c r="Y160" s="145" t="s">
        <v>5</v>
      </c>
      <c r="Z160" s="146" t="s">
        <v>6</v>
      </c>
      <c r="AA160" s="147" t="s">
        <v>5</v>
      </c>
      <c r="AB160" s="287"/>
      <c r="AC160" s="286"/>
      <c r="AD160" s="286"/>
      <c r="AE160" s="286"/>
    </row>
    <row r="161" spans="2:31" x14ac:dyDescent="0.25">
      <c r="B161" s="214"/>
      <c r="C161" s="216"/>
      <c r="D161" s="216"/>
      <c r="E161" s="216"/>
      <c r="F161" s="216"/>
      <c r="G161" s="216"/>
      <c r="H161" s="216"/>
      <c r="I161" s="216"/>
      <c r="J161" s="216"/>
      <c r="K161" s="216"/>
      <c r="L161" s="216"/>
      <c r="M161" s="216"/>
      <c r="N161" s="216"/>
      <c r="O161" s="58" t="s">
        <v>64</v>
      </c>
      <c r="P161" s="58" t="s">
        <v>65</v>
      </c>
      <c r="S161" s="143" t="s">
        <v>67</v>
      </c>
      <c r="T161" s="21">
        <v>0</v>
      </c>
      <c r="V161" s="148" t="s">
        <v>8</v>
      </c>
      <c r="W161" s="148">
        <f>SUM(W162:W165)</f>
        <v>253500</v>
      </c>
      <c r="X161" s="148">
        <f>SUM(X162:X163)</f>
        <v>61520.238095238092</v>
      </c>
      <c r="Y161" s="148">
        <f>SUM(Y162:Y163)</f>
        <v>191979.76190476189</v>
      </c>
      <c r="Z161" s="148" t="s">
        <v>9</v>
      </c>
      <c r="AA161" s="149">
        <f>SUM(AA162:AA165)</f>
        <v>-888143.74889523804</v>
      </c>
      <c r="AB161" s="287"/>
      <c r="AC161" s="286"/>
      <c r="AD161" s="286"/>
      <c r="AE161" s="286"/>
    </row>
    <row r="162" spans="2:31" ht="30" x14ac:dyDescent="0.25">
      <c r="B162" s="35" t="s">
        <v>121</v>
      </c>
      <c r="C162" s="35">
        <f t="shared" ref="C162:N162" si="84">C99</f>
        <v>6364.8</v>
      </c>
      <c r="D162" s="35">
        <f t="shared" si="84"/>
        <v>6555.7439999999997</v>
      </c>
      <c r="E162" s="35">
        <f t="shared" si="84"/>
        <v>6555.7439999999997</v>
      </c>
      <c r="F162" s="35">
        <f t="shared" si="84"/>
        <v>6555.7439999999997</v>
      </c>
      <c r="G162" s="35">
        <f t="shared" si="84"/>
        <v>6555.7439999999997</v>
      </c>
      <c r="H162" s="35">
        <f t="shared" si="84"/>
        <v>6555.7439999999997</v>
      </c>
      <c r="I162" s="35">
        <f t="shared" si="84"/>
        <v>6555.7439999999997</v>
      </c>
      <c r="J162" s="43">
        <f t="shared" si="84"/>
        <v>6555.7439999999997</v>
      </c>
      <c r="K162" s="35">
        <f t="shared" si="84"/>
        <v>6555.7439999999997</v>
      </c>
      <c r="L162" s="35">
        <f t="shared" si="84"/>
        <v>6555.7439999999997</v>
      </c>
      <c r="M162" s="35">
        <f t="shared" si="84"/>
        <v>6555.7439999999997</v>
      </c>
      <c r="N162" s="35">
        <f t="shared" si="84"/>
        <v>6555.7439999999997</v>
      </c>
      <c r="O162" s="34"/>
      <c r="P162" s="34"/>
      <c r="S162" s="144" t="s">
        <v>10</v>
      </c>
      <c r="T162" s="131">
        <f>T160+T161</f>
        <v>65557.440000000017</v>
      </c>
      <c r="V162" s="150" t="s">
        <v>11</v>
      </c>
      <c r="W162" s="150">
        <f>'Bilan et CDR N+2'!G6</f>
        <v>176000</v>
      </c>
      <c r="X162" s="150">
        <f>X72+P121*0.75</f>
        <v>25315.178571428572</v>
      </c>
      <c r="Y162" s="150">
        <f>W162-X162</f>
        <v>150684.82142857142</v>
      </c>
      <c r="Z162" s="150" t="s">
        <v>12</v>
      </c>
      <c r="AA162" s="151">
        <f>AA72</f>
        <v>80000</v>
      </c>
      <c r="AB162" s="162"/>
      <c r="AC162" s="118"/>
      <c r="AD162" s="118"/>
      <c r="AE162" s="118"/>
    </row>
    <row r="163" spans="2:31" x14ac:dyDescent="0.25">
      <c r="B163" s="34" t="s">
        <v>122</v>
      </c>
      <c r="C163" s="34"/>
      <c r="D163" s="34"/>
      <c r="E163" s="34"/>
      <c r="F163" s="34"/>
      <c r="G163" s="34"/>
      <c r="H163" s="34"/>
      <c r="I163" s="34"/>
      <c r="J163" s="34"/>
      <c r="K163" s="34"/>
      <c r="L163" s="34"/>
      <c r="M163" s="34"/>
      <c r="N163" s="34"/>
      <c r="O163" s="34"/>
      <c r="P163" s="34"/>
      <c r="S163" s="143" t="s">
        <v>70</v>
      </c>
      <c r="T163" s="21">
        <f>P105</f>
        <v>20978.380799999999</v>
      </c>
      <c r="V163" s="150" t="s">
        <v>14</v>
      </c>
      <c r="W163" s="150">
        <f>'Bilan et CDR N+2'!G7</f>
        <v>77500</v>
      </c>
      <c r="X163" s="150">
        <f>X73+P121*0.25</f>
        <v>36205.059523809519</v>
      </c>
      <c r="Y163" s="150">
        <f>W163-X163</f>
        <v>41294.940476190481</v>
      </c>
      <c r="Z163" s="150" t="s">
        <v>15</v>
      </c>
      <c r="AA163" s="151">
        <v>5000</v>
      </c>
      <c r="AB163" s="152"/>
    </row>
    <row r="164" spans="2:31" x14ac:dyDescent="0.25">
      <c r="B164" s="59" t="s">
        <v>123</v>
      </c>
      <c r="C164" s="59">
        <f t="shared" ref="C164:N164" si="85">C163+C162</f>
        <v>6364.8</v>
      </c>
      <c r="D164" s="59">
        <f t="shared" si="85"/>
        <v>6555.7439999999997</v>
      </c>
      <c r="E164" s="59">
        <f t="shared" si="85"/>
        <v>6555.7439999999997</v>
      </c>
      <c r="F164" s="59">
        <f t="shared" si="85"/>
        <v>6555.7439999999997</v>
      </c>
      <c r="G164" s="59">
        <f t="shared" si="85"/>
        <v>6555.7439999999997</v>
      </c>
      <c r="H164" s="59">
        <f t="shared" si="85"/>
        <v>6555.7439999999997</v>
      </c>
      <c r="I164" s="59">
        <f t="shared" si="85"/>
        <v>6555.7439999999997</v>
      </c>
      <c r="J164" s="59">
        <f t="shared" si="85"/>
        <v>6555.7439999999997</v>
      </c>
      <c r="K164" s="59">
        <f t="shared" si="85"/>
        <v>6555.7439999999997</v>
      </c>
      <c r="L164" s="59">
        <f t="shared" si="85"/>
        <v>6555.7439999999997</v>
      </c>
      <c r="M164" s="59">
        <f t="shared" si="85"/>
        <v>6555.7439999999997</v>
      </c>
      <c r="N164" s="59">
        <f t="shared" si="85"/>
        <v>6555.7439999999997</v>
      </c>
      <c r="O164" s="34"/>
      <c r="P164" s="34"/>
      <c r="S164" s="143" t="s">
        <v>73</v>
      </c>
      <c r="T164" s="21">
        <f>P114</f>
        <v>85200</v>
      </c>
      <c r="V164" s="148"/>
      <c r="W164" s="148"/>
      <c r="X164" s="148"/>
      <c r="Y164" s="148"/>
      <c r="Z164" s="150" t="s">
        <v>17</v>
      </c>
      <c r="AA164" s="151">
        <f>AA74+AA75</f>
        <v>-475928.19571428571</v>
      </c>
      <c r="AB164" s="152"/>
    </row>
    <row r="165" spans="2:31" x14ac:dyDescent="0.25">
      <c r="B165" s="35" t="s">
        <v>124</v>
      </c>
      <c r="C165" s="35">
        <f t="shared" ref="C165:N165" si="86">C108</f>
        <v>2097.83808</v>
      </c>
      <c r="D165" s="35">
        <f t="shared" si="86"/>
        <v>2097.83808</v>
      </c>
      <c r="E165" s="35">
        <f t="shared" si="86"/>
        <v>2097.83808</v>
      </c>
      <c r="F165" s="35">
        <f t="shared" si="86"/>
        <v>2097.83808</v>
      </c>
      <c r="G165" s="35">
        <f t="shared" si="86"/>
        <v>2097.83808</v>
      </c>
      <c r="H165" s="35">
        <f t="shared" si="86"/>
        <v>2097.83808</v>
      </c>
      <c r="I165" s="35">
        <f t="shared" si="86"/>
        <v>2097.83808</v>
      </c>
      <c r="J165" s="35">
        <f t="shared" si="86"/>
        <v>2097.83808</v>
      </c>
      <c r="K165" s="35">
        <f t="shared" si="86"/>
        <v>2097.83808</v>
      </c>
      <c r="L165" s="35">
        <f t="shared" si="86"/>
        <v>2097.83808</v>
      </c>
      <c r="M165" s="35">
        <f t="shared" si="86"/>
        <v>2097.83808</v>
      </c>
      <c r="N165" s="35">
        <f t="shared" si="86"/>
        <v>2097.83808</v>
      </c>
      <c r="O165" s="34"/>
      <c r="P165" s="34"/>
      <c r="S165" s="143" t="s">
        <v>18</v>
      </c>
      <c r="T165" s="21">
        <f>P131</f>
        <v>8200</v>
      </c>
      <c r="V165" s="150"/>
      <c r="W165" s="150"/>
      <c r="X165" s="150"/>
      <c r="Y165" s="150"/>
      <c r="Z165" s="150" t="s">
        <v>19</v>
      </c>
      <c r="AA165" s="151">
        <f>T177</f>
        <v>-497215.55318095232</v>
      </c>
      <c r="AB165" s="152"/>
    </row>
    <row r="166" spans="2:31" x14ac:dyDescent="0.25">
      <c r="B166" s="35" t="s">
        <v>125</v>
      </c>
      <c r="C166" s="35"/>
      <c r="D166" s="35"/>
      <c r="E166" s="35"/>
      <c r="F166" s="35"/>
      <c r="G166" s="35"/>
      <c r="H166" s="35"/>
      <c r="I166" s="35"/>
      <c r="J166" s="35"/>
      <c r="K166" s="35"/>
      <c r="L166" s="35"/>
      <c r="M166" s="35"/>
      <c r="N166" s="35"/>
      <c r="O166" s="34"/>
      <c r="P166" s="34"/>
      <c r="S166" s="143" t="s">
        <v>20</v>
      </c>
      <c r="T166" s="21">
        <f>P123</f>
        <v>307500</v>
      </c>
      <c r="V166" s="152"/>
      <c r="W166" s="153"/>
      <c r="Y166" s="153"/>
      <c r="Z166" s="151"/>
      <c r="AA166" s="149"/>
      <c r="AB166" s="162"/>
      <c r="AC166" s="118"/>
      <c r="AD166" s="118"/>
      <c r="AE166" s="118"/>
    </row>
    <row r="167" spans="2:31" x14ac:dyDescent="0.25">
      <c r="B167" s="35" t="s">
        <v>126</v>
      </c>
      <c r="C167" s="35">
        <f t="shared" ref="C167:N167" si="87">C123</f>
        <v>25625</v>
      </c>
      <c r="D167" s="35">
        <f t="shared" si="87"/>
        <v>25625</v>
      </c>
      <c r="E167" s="35">
        <f t="shared" si="87"/>
        <v>25625</v>
      </c>
      <c r="F167" s="35">
        <f t="shared" si="87"/>
        <v>25625</v>
      </c>
      <c r="G167" s="35">
        <f t="shared" si="87"/>
        <v>25625</v>
      </c>
      <c r="H167" s="35">
        <f t="shared" si="87"/>
        <v>25625</v>
      </c>
      <c r="I167" s="35">
        <f t="shared" si="87"/>
        <v>25625</v>
      </c>
      <c r="J167" s="35">
        <f t="shared" si="87"/>
        <v>25625</v>
      </c>
      <c r="K167" s="35">
        <f t="shared" si="87"/>
        <v>25625</v>
      </c>
      <c r="L167" s="35">
        <f t="shared" si="87"/>
        <v>25625</v>
      </c>
      <c r="M167" s="35">
        <f t="shared" si="87"/>
        <v>25625</v>
      </c>
      <c r="N167" s="35">
        <f t="shared" si="87"/>
        <v>25625</v>
      </c>
      <c r="O167" s="34"/>
      <c r="P167" s="34"/>
      <c r="S167" s="143" t="s">
        <v>21</v>
      </c>
      <c r="T167" s="21">
        <f>P124</f>
        <v>123000</v>
      </c>
      <c r="V167" s="148" t="s">
        <v>22</v>
      </c>
      <c r="W167" s="148">
        <f>SUM(W168:W170)</f>
        <v>-943966.52648000023</v>
      </c>
      <c r="X167" s="148">
        <f>SUM(X168:X170)</f>
        <v>0</v>
      </c>
      <c r="Y167" s="148">
        <f>SUM(Y168:Y170)</f>
        <v>-943966.52648000023</v>
      </c>
      <c r="Z167" s="148" t="s">
        <v>23</v>
      </c>
      <c r="AA167" s="149">
        <f>SUM(AA168:AA171)</f>
        <v>117134.98432</v>
      </c>
      <c r="AB167" s="152"/>
    </row>
    <row r="168" spans="2:31" ht="30" x14ac:dyDescent="0.25">
      <c r="B168" s="35" t="s">
        <v>21</v>
      </c>
      <c r="C168" s="35">
        <f t="shared" ref="C168:N168" si="88">C125</f>
        <v>10250</v>
      </c>
      <c r="D168" s="35">
        <f t="shared" si="88"/>
        <v>10250</v>
      </c>
      <c r="E168" s="35">
        <f t="shared" si="88"/>
        <v>10250</v>
      </c>
      <c r="F168" s="35">
        <f t="shared" si="88"/>
        <v>10250</v>
      </c>
      <c r="G168" s="35">
        <f t="shared" si="88"/>
        <v>10250</v>
      </c>
      <c r="H168" s="35">
        <f t="shared" si="88"/>
        <v>10250</v>
      </c>
      <c r="I168" s="35">
        <f t="shared" si="88"/>
        <v>10250</v>
      </c>
      <c r="J168" s="35">
        <f t="shared" si="88"/>
        <v>10250</v>
      </c>
      <c r="K168" s="35">
        <f t="shared" si="88"/>
        <v>10250</v>
      </c>
      <c r="L168" s="35">
        <f t="shared" si="88"/>
        <v>10250</v>
      </c>
      <c r="M168" s="35">
        <f t="shared" si="88"/>
        <v>10250</v>
      </c>
      <c r="N168" s="35">
        <f t="shared" si="88"/>
        <v>10250</v>
      </c>
      <c r="O168" s="34"/>
      <c r="P168" s="34"/>
      <c r="S168" s="143" t="s">
        <v>75</v>
      </c>
      <c r="T168" s="21">
        <f>P121</f>
        <v>11705.95238095238</v>
      </c>
      <c r="V168" s="150" t="s">
        <v>25</v>
      </c>
      <c r="W168" s="150">
        <v>15000</v>
      </c>
      <c r="X168" s="150"/>
      <c r="Y168" s="150">
        <f>W168-X168</f>
        <v>15000</v>
      </c>
      <c r="Z168" s="150" t="s">
        <v>26</v>
      </c>
      <c r="AA168" s="151">
        <v>0</v>
      </c>
      <c r="AB168" s="152"/>
    </row>
    <row r="169" spans="2:31" x14ac:dyDescent="0.25">
      <c r="B169" s="35" t="s">
        <v>102</v>
      </c>
      <c r="C169" s="35">
        <f t="shared" ref="C169:N169" si="89">C132</f>
        <v>0</v>
      </c>
      <c r="D169" s="35">
        <f t="shared" si="89"/>
        <v>0</v>
      </c>
      <c r="E169" s="35">
        <f t="shared" si="89"/>
        <v>0</v>
      </c>
      <c r="F169" s="35">
        <f t="shared" si="89"/>
        <v>0</v>
      </c>
      <c r="G169" s="35">
        <f t="shared" si="89"/>
        <v>0</v>
      </c>
      <c r="H169" s="35">
        <f t="shared" si="89"/>
        <v>0</v>
      </c>
      <c r="I169" s="35">
        <f t="shared" si="89"/>
        <v>0</v>
      </c>
      <c r="J169" s="35">
        <f t="shared" si="89"/>
        <v>0</v>
      </c>
      <c r="K169" s="35">
        <f t="shared" si="89"/>
        <v>0</v>
      </c>
      <c r="L169" s="35">
        <f t="shared" si="89"/>
        <v>8200</v>
      </c>
      <c r="M169" s="35">
        <f t="shared" si="89"/>
        <v>0</v>
      </c>
      <c r="N169" s="35">
        <f t="shared" si="89"/>
        <v>0</v>
      </c>
      <c r="O169" s="34"/>
      <c r="P169" s="34"/>
      <c r="S169" s="144" t="s">
        <v>76</v>
      </c>
      <c r="T169" s="131">
        <f>SUM(T163:T168)</f>
        <v>556584.33318095235</v>
      </c>
      <c r="V169" s="150" t="s">
        <v>28</v>
      </c>
      <c r="W169" s="150">
        <f>P99</f>
        <v>6555.7439999999997</v>
      </c>
      <c r="X169" s="150"/>
      <c r="Y169" s="150">
        <f>W169-X169</f>
        <v>6555.7439999999997</v>
      </c>
      <c r="Z169" s="150" t="s">
        <v>29</v>
      </c>
      <c r="AA169" s="151">
        <v>0</v>
      </c>
      <c r="AB169" s="162"/>
      <c r="AC169" s="118"/>
      <c r="AD169" s="118"/>
      <c r="AE169" s="118"/>
    </row>
    <row r="170" spans="2:31" x14ac:dyDescent="0.25">
      <c r="B170" s="35" t="s">
        <v>127</v>
      </c>
      <c r="C170" s="35">
        <f t="shared" ref="C170:N170" si="90">C117</f>
        <v>8520</v>
      </c>
      <c r="D170" s="35">
        <f t="shared" si="90"/>
        <v>8520</v>
      </c>
      <c r="E170" s="35">
        <f t="shared" si="90"/>
        <v>8520</v>
      </c>
      <c r="F170" s="35">
        <f t="shared" si="90"/>
        <v>8520</v>
      </c>
      <c r="G170" s="35">
        <f t="shared" si="90"/>
        <v>8520</v>
      </c>
      <c r="H170" s="35">
        <f t="shared" si="90"/>
        <v>8520</v>
      </c>
      <c r="I170" s="35">
        <f t="shared" si="90"/>
        <v>8520</v>
      </c>
      <c r="J170" s="35">
        <f t="shared" si="90"/>
        <v>8520</v>
      </c>
      <c r="K170" s="35">
        <f t="shared" si="90"/>
        <v>8520</v>
      </c>
      <c r="L170" s="35">
        <f t="shared" si="90"/>
        <v>8520</v>
      </c>
      <c r="M170" s="35">
        <f t="shared" si="90"/>
        <v>8520</v>
      </c>
      <c r="N170" s="35">
        <f t="shared" si="90"/>
        <v>8520</v>
      </c>
      <c r="O170" s="34"/>
      <c r="P170" s="34"/>
      <c r="S170" s="154" t="s">
        <v>30</v>
      </c>
      <c r="T170" s="155">
        <f>T162-T169</f>
        <v>-491026.89318095235</v>
      </c>
      <c r="V170" s="150" t="s">
        <v>34</v>
      </c>
      <c r="W170" s="150">
        <f>AE155</f>
        <v>-965522.27048000018</v>
      </c>
      <c r="X170" s="150"/>
      <c r="Y170" s="150">
        <f>W170-X170</f>
        <v>-965522.27048000018</v>
      </c>
      <c r="Z170" s="150" t="s">
        <v>32</v>
      </c>
      <c r="AA170" s="151">
        <f>P156+P125</f>
        <v>9572.9843199999996</v>
      </c>
      <c r="AB170" s="152"/>
    </row>
    <row r="171" spans="2:31" x14ac:dyDescent="0.25">
      <c r="B171" s="35" t="s">
        <v>128</v>
      </c>
      <c r="C171" s="35">
        <f t="shared" ref="C171:N171" si="91">C135</f>
        <v>5175</v>
      </c>
      <c r="D171" s="35">
        <f t="shared" si="91"/>
        <v>5175</v>
      </c>
      <c r="E171" s="35">
        <f t="shared" si="91"/>
        <v>5175</v>
      </c>
      <c r="F171" s="35">
        <f t="shared" si="91"/>
        <v>5175</v>
      </c>
      <c r="G171" s="35">
        <f t="shared" si="91"/>
        <v>5175</v>
      </c>
      <c r="H171" s="35">
        <f t="shared" si="91"/>
        <v>5175</v>
      </c>
      <c r="I171" s="35">
        <f t="shared" si="91"/>
        <v>5175</v>
      </c>
      <c r="J171" s="35">
        <f t="shared" si="91"/>
        <v>5175</v>
      </c>
      <c r="K171" s="35">
        <f t="shared" si="91"/>
        <v>5175</v>
      </c>
      <c r="L171" s="35">
        <f t="shared" si="91"/>
        <v>5175</v>
      </c>
      <c r="M171" s="35">
        <f t="shared" si="91"/>
        <v>5175</v>
      </c>
      <c r="N171" s="35">
        <f t="shared" si="91"/>
        <v>5175</v>
      </c>
      <c r="O171" s="34"/>
      <c r="P171" s="34"/>
      <c r="S171" s="144" t="s">
        <v>33</v>
      </c>
      <c r="T171" s="131">
        <v>0</v>
      </c>
      <c r="V171" s="150"/>
      <c r="W171" s="150"/>
      <c r="X171" s="150"/>
      <c r="Y171" s="150"/>
      <c r="Z171" s="150" t="s">
        <v>221</v>
      </c>
      <c r="AA171" s="151">
        <f>SUM(T148:AE148)+AA81</f>
        <v>107562</v>
      </c>
      <c r="AB171" s="152"/>
    </row>
    <row r="172" spans="2:31" x14ac:dyDescent="0.25">
      <c r="B172" s="35" t="s">
        <v>129</v>
      </c>
      <c r="C172" s="35">
        <f t="shared" ref="C172:N172" si="92">C143</f>
        <v>0</v>
      </c>
      <c r="D172" s="35">
        <f t="shared" si="92"/>
        <v>0</v>
      </c>
      <c r="E172" s="35">
        <f t="shared" si="92"/>
        <v>0</v>
      </c>
      <c r="F172" s="35">
        <f t="shared" si="92"/>
        <v>0</v>
      </c>
      <c r="G172" s="35">
        <f t="shared" si="92"/>
        <v>0</v>
      </c>
      <c r="H172" s="35">
        <f t="shared" si="92"/>
        <v>20400</v>
      </c>
      <c r="I172" s="35">
        <f t="shared" si="92"/>
        <v>0</v>
      </c>
      <c r="J172" s="35">
        <f t="shared" si="92"/>
        <v>0</v>
      </c>
      <c r="K172" s="35">
        <f t="shared" si="92"/>
        <v>0</v>
      </c>
      <c r="L172" s="35">
        <f t="shared" si="92"/>
        <v>0</v>
      </c>
      <c r="M172" s="35">
        <f t="shared" si="92"/>
        <v>0</v>
      </c>
      <c r="N172" s="35">
        <f t="shared" si="92"/>
        <v>0</v>
      </c>
      <c r="O172" s="34"/>
      <c r="P172" s="34"/>
      <c r="S172" s="143" t="s">
        <v>36</v>
      </c>
      <c r="T172" s="21">
        <f>P133+SUM(T151:AE151)</f>
        <v>6188.66</v>
      </c>
      <c r="V172" s="156" t="s">
        <v>38</v>
      </c>
      <c r="W172" s="156">
        <f>W161+W167</f>
        <v>-690466.52648000023</v>
      </c>
      <c r="X172" s="156">
        <f>X161</f>
        <v>61520.238095238092</v>
      </c>
      <c r="Y172" s="156">
        <f>W172-X172</f>
        <v>-751986.76457523834</v>
      </c>
      <c r="Z172" s="156" t="s">
        <v>39</v>
      </c>
      <c r="AA172" s="157">
        <f>AA161+AA167</f>
        <v>-771008.76457523799</v>
      </c>
      <c r="AB172" s="152"/>
    </row>
    <row r="173" spans="2:31" x14ac:dyDescent="0.25">
      <c r="B173" s="35" t="s">
        <v>130</v>
      </c>
      <c r="C173" s="35">
        <f>C156</f>
        <v>-677.44</v>
      </c>
      <c r="D173" s="35">
        <f t="shared" ref="D173:N173" si="93">D156</f>
        <v>-677.01567999999997</v>
      </c>
      <c r="E173" s="35">
        <f t="shared" si="93"/>
        <v>-677.01567999999997</v>
      </c>
      <c r="F173" s="35">
        <f t="shared" si="93"/>
        <v>-677.01567999999997</v>
      </c>
      <c r="G173" s="35">
        <f t="shared" si="93"/>
        <v>-677.01567999999997</v>
      </c>
      <c r="H173" s="35">
        <f t="shared" si="93"/>
        <v>-677.01567999999997</v>
      </c>
      <c r="I173" s="35">
        <f t="shared" si="93"/>
        <v>-4077.0156800000004</v>
      </c>
      <c r="J173" s="35">
        <f t="shared" si="93"/>
        <v>-677.01567999999997</v>
      </c>
      <c r="K173" s="35">
        <f t="shared" si="93"/>
        <v>-677.01567999999997</v>
      </c>
      <c r="L173" s="35">
        <f t="shared" si="93"/>
        <v>-677.01567999999997</v>
      </c>
      <c r="M173" s="35">
        <f t="shared" si="93"/>
        <v>-677.01567999999997</v>
      </c>
      <c r="N173" s="35">
        <f t="shared" si="93"/>
        <v>-677.01567999999997</v>
      </c>
      <c r="O173" s="34"/>
      <c r="P173" s="34"/>
      <c r="S173" s="144" t="s">
        <v>37</v>
      </c>
      <c r="T173" s="131">
        <f>T172</f>
        <v>6188.66</v>
      </c>
      <c r="Z173" s="158" t="s">
        <v>42</v>
      </c>
      <c r="AA173" s="159">
        <f>Y172-AA172</f>
        <v>19021.999999999651</v>
      </c>
    </row>
    <row r="174" spans="2:31" x14ac:dyDescent="0.25">
      <c r="B174" s="59" t="s">
        <v>131</v>
      </c>
      <c r="C174" s="59">
        <f>SUM(C165:C173)</f>
        <v>50990.398079999999</v>
      </c>
      <c r="D174" s="59">
        <f t="shared" ref="D174:N174" si="94">SUM(D165:D173)</f>
        <v>50990.822400000005</v>
      </c>
      <c r="E174" s="59">
        <f t="shared" si="94"/>
        <v>50990.822400000005</v>
      </c>
      <c r="F174" s="59">
        <f t="shared" si="94"/>
        <v>50990.822400000005</v>
      </c>
      <c r="G174" s="59">
        <f t="shared" si="94"/>
        <v>50990.822400000005</v>
      </c>
      <c r="H174" s="59">
        <f t="shared" si="94"/>
        <v>71390.822400000005</v>
      </c>
      <c r="I174" s="59">
        <f t="shared" si="94"/>
        <v>47590.822400000005</v>
      </c>
      <c r="J174" s="59">
        <f t="shared" si="94"/>
        <v>50990.822400000005</v>
      </c>
      <c r="K174" s="59">
        <f t="shared" si="94"/>
        <v>50990.822400000005</v>
      </c>
      <c r="L174" s="59">
        <f t="shared" si="94"/>
        <v>59190.822400000005</v>
      </c>
      <c r="M174" s="59">
        <f t="shared" si="94"/>
        <v>50990.822400000005</v>
      </c>
      <c r="N174" s="59">
        <f t="shared" si="94"/>
        <v>50990.822400000005</v>
      </c>
      <c r="O174" s="34"/>
      <c r="P174" s="34"/>
      <c r="S174" s="154" t="s">
        <v>40</v>
      </c>
      <c r="T174" s="155">
        <f>T171-T173</f>
        <v>-6188.66</v>
      </c>
    </row>
    <row r="175" spans="2:31" x14ac:dyDescent="0.25">
      <c r="B175" s="59" t="s">
        <v>132</v>
      </c>
      <c r="C175" s="59">
        <f>W80</f>
        <v>-446529.15</v>
      </c>
      <c r="D175" s="59">
        <f t="shared" ref="D175:N175" si="95">C177</f>
        <v>-491154.74808000005</v>
      </c>
      <c r="E175" s="59">
        <f t="shared" si="95"/>
        <v>-535589.82648000005</v>
      </c>
      <c r="F175" s="59">
        <f t="shared" si="95"/>
        <v>-580024.90488000005</v>
      </c>
      <c r="G175" s="59">
        <f t="shared" si="95"/>
        <v>-624459.98328000004</v>
      </c>
      <c r="H175" s="59">
        <f t="shared" si="95"/>
        <v>-668895.06168000004</v>
      </c>
      <c r="I175" s="59">
        <f t="shared" si="95"/>
        <v>-733730.14008000004</v>
      </c>
      <c r="J175" s="59">
        <f t="shared" si="95"/>
        <v>-774765.21848000004</v>
      </c>
      <c r="K175" s="59">
        <f t="shared" si="95"/>
        <v>-819200.29688000004</v>
      </c>
      <c r="L175" s="59">
        <f t="shared" si="95"/>
        <v>-863635.37528000004</v>
      </c>
      <c r="M175" s="59">
        <f t="shared" si="95"/>
        <v>-916270.45368000004</v>
      </c>
      <c r="N175" s="59">
        <f t="shared" si="95"/>
        <v>-960705.53208000003</v>
      </c>
      <c r="O175" s="34"/>
      <c r="P175" s="34"/>
      <c r="S175" s="154" t="s">
        <v>43</v>
      </c>
      <c r="T175" s="155">
        <f>T170-(-T174)</f>
        <v>-497215.55318095232</v>
      </c>
    </row>
    <row r="176" spans="2:31" x14ac:dyDescent="0.25">
      <c r="B176" s="34" t="s">
        <v>133</v>
      </c>
      <c r="C176" s="34">
        <f t="shared" ref="C176:N176" si="96">C164-C174</f>
        <v>-44625.598079999996</v>
      </c>
      <c r="D176" s="34">
        <f t="shared" si="96"/>
        <v>-44435.078400000006</v>
      </c>
      <c r="E176" s="34">
        <f t="shared" si="96"/>
        <v>-44435.078400000006</v>
      </c>
      <c r="F176" s="34">
        <f t="shared" si="96"/>
        <v>-44435.078400000006</v>
      </c>
      <c r="G176" s="34">
        <f t="shared" si="96"/>
        <v>-44435.078400000006</v>
      </c>
      <c r="H176" s="34">
        <f t="shared" si="96"/>
        <v>-64835.078400000006</v>
      </c>
      <c r="I176" s="34">
        <f t="shared" si="96"/>
        <v>-41035.078400000006</v>
      </c>
      <c r="J176" s="34">
        <f t="shared" si="96"/>
        <v>-44435.078400000006</v>
      </c>
      <c r="K176" s="34">
        <f t="shared" si="96"/>
        <v>-44435.078400000006</v>
      </c>
      <c r="L176" s="34">
        <f t="shared" si="96"/>
        <v>-52635.078400000006</v>
      </c>
      <c r="M176" s="34">
        <f t="shared" si="96"/>
        <v>-44435.078400000006</v>
      </c>
      <c r="N176" s="34">
        <f t="shared" si="96"/>
        <v>-44435.078400000006</v>
      </c>
      <c r="O176" s="34"/>
      <c r="P176" s="34"/>
      <c r="S176" s="154" t="s">
        <v>45</v>
      </c>
      <c r="T176" s="21"/>
    </row>
    <row r="177" spans="2:20" x14ac:dyDescent="0.25">
      <c r="B177" s="59" t="s">
        <v>134</v>
      </c>
      <c r="C177" s="59">
        <f t="shared" ref="C177:N177" si="97">C175+C176</f>
        <v>-491154.74808000005</v>
      </c>
      <c r="D177" s="59">
        <f t="shared" si="97"/>
        <v>-535589.82648000005</v>
      </c>
      <c r="E177" s="59">
        <f t="shared" si="97"/>
        <v>-580024.90488000005</v>
      </c>
      <c r="F177" s="59">
        <f t="shared" si="97"/>
        <v>-624459.98328000004</v>
      </c>
      <c r="G177" s="59">
        <f t="shared" si="97"/>
        <v>-668895.06168000004</v>
      </c>
      <c r="H177" s="59">
        <f t="shared" si="97"/>
        <v>-733730.14008000004</v>
      </c>
      <c r="I177" s="59">
        <f t="shared" si="97"/>
        <v>-774765.21848000004</v>
      </c>
      <c r="J177" s="59">
        <f t="shared" si="97"/>
        <v>-819200.29688000004</v>
      </c>
      <c r="K177" s="59">
        <f t="shared" si="97"/>
        <v>-863635.37528000004</v>
      </c>
      <c r="L177" s="59">
        <f t="shared" si="97"/>
        <v>-916270.45368000004</v>
      </c>
      <c r="M177" s="59">
        <f t="shared" si="97"/>
        <v>-960705.53208000003</v>
      </c>
      <c r="N177" s="59">
        <f t="shared" si="97"/>
        <v>-1005140.61048</v>
      </c>
      <c r="O177" s="60" t="s">
        <v>135</v>
      </c>
      <c r="P177" s="61">
        <f>N177</f>
        <v>-1005140.61048</v>
      </c>
      <c r="S177" s="160" t="s">
        <v>47</v>
      </c>
      <c r="T177" s="161">
        <f>T175</f>
        <v>-497215.55318095232</v>
      </c>
    </row>
    <row r="180" spans="2:20" ht="28.5" x14ac:dyDescent="0.45">
      <c r="B180" s="289" t="s">
        <v>152</v>
      </c>
      <c r="C180" s="289"/>
      <c r="D180" s="289"/>
      <c r="E180" s="289"/>
      <c r="F180" s="289"/>
      <c r="G180" s="289"/>
      <c r="H180" s="289"/>
      <c r="I180" s="289"/>
      <c r="J180" s="289"/>
      <c r="K180" s="289"/>
      <c r="L180" s="289"/>
      <c r="M180" s="289"/>
      <c r="N180" s="289"/>
      <c r="O180" s="289"/>
      <c r="P180" s="289"/>
    </row>
    <row r="183" spans="2:20" x14ac:dyDescent="0.25">
      <c r="B183" s="288" t="s">
        <v>153</v>
      </c>
      <c r="C183" s="288"/>
      <c r="D183" s="288"/>
      <c r="E183" s="288"/>
      <c r="F183" s="288"/>
      <c r="G183" s="288"/>
      <c r="H183" s="288"/>
      <c r="I183" s="288"/>
      <c r="J183" s="288"/>
      <c r="K183" s="288"/>
      <c r="L183" s="288"/>
      <c r="M183" s="288"/>
      <c r="N183" s="288"/>
      <c r="O183" s="288"/>
      <c r="P183" s="288"/>
    </row>
    <row r="184" spans="2:20" x14ac:dyDescent="0.25">
      <c r="B184" s="213"/>
      <c r="C184" s="215" t="s">
        <v>50</v>
      </c>
      <c r="D184" s="215" t="s">
        <v>51</v>
      </c>
      <c r="E184" s="215" t="s">
        <v>52</v>
      </c>
      <c r="F184" s="215" t="s">
        <v>53</v>
      </c>
      <c r="G184" s="215" t="s">
        <v>54</v>
      </c>
      <c r="H184" s="215" t="s">
        <v>55</v>
      </c>
      <c r="I184" s="215" t="s">
        <v>56</v>
      </c>
      <c r="J184" s="215" t="s">
        <v>57</v>
      </c>
      <c r="K184" s="215" t="s">
        <v>58</v>
      </c>
      <c r="L184" s="215" t="s">
        <v>59</v>
      </c>
      <c r="M184" s="215" t="s">
        <v>60</v>
      </c>
      <c r="N184" s="215" t="s">
        <v>61</v>
      </c>
      <c r="O184" s="220" t="s">
        <v>62</v>
      </c>
      <c r="P184" s="221"/>
    </row>
    <row r="185" spans="2:20" x14ac:dyDescent="0.25">
      <c r="B185" s="214"/>
      <c r="C185" s="216"/>
      <c r="D185" s="216"/>
      <c r="E185" s="216"/>
      <c r="F185" s="216"/>
      <c r="G185" s="216"/>
      <c r="H185" s="216"/>
      <c r="I185" s="216"/>
      <c r="J185" s="216"/>
      <c r="K185" s="216"/>
      <c r="L185" s="216"/>
      <c r="M185" s="216"/>
      <c r="N185" s="216"/>
      <c r="O185" s="58" t="s">
        <v>64</v>
      </c>
      <c r="P185" s="58" t="s">
        <v>65</v>
      </c>
    </row>
    <row r="186" spans="2:20" x14ac:dyDescent="0.25">
      <c r="B186" s="35" t="s">
        <v>66</v>
      </c>
      <c r="C186" s="35">
        <f>$P$96*1.03/12</f>
        <v>5627.013600000002</v>
      </c>
      <c r="D186" s="35">
        <f t="shared" ref="D186:N186" si="98">$P$96*1.03/12</f>
        <v>5627.013600000002</v>
      </c>
      <c r="E186" s="35">
        <f t="shared" si="98"/>
        <v>5627.013600000002</v>
      </c>
      <c r="F186" s="35">
        <f t="shared" si="98"/>
        <v>5627.013600000002</v>
      </c>
      <c r="G186" s="35">
        <f t="shared" si="98"/>
        <v>5627.013600000002</v>
      </c>
      <c r="H186" s="35">
        <f t="shared" si="98"/>
        <v>5627.013600000002</v>
      </c>
      <c r="I186" s="35">
        <f t="shared" si="98"/>
        <v>5627.013600000002</v>
      </c>
      <c r="J186" s="35">
        <f t="shared" si="98"/>
        <v>5627.013600000002</v>
      </c>
      <c r="K186" s="35">
        <f t="shared" si="98"/>
        <v>5627.013600000002</v>
      </c>
      <c r="L186" s="35">
        <f t="shared" si="98"/>
        <v>5627.013600000002</v>
      </c>
      <c r="M186" s="35">
        <f t="shared" si="98"/>
        <v>5627.013600000002</v>
      </c>
      <c r="N186" s="35">
        <f t="shared" si="98"/>
        <v>5627.013600000002</v>
      </c>
      <c r="O186" s="60" t="s">
        <v>1</v>
      </c>
      <c r="P186" s="61">
        <f>SUM(C186:N186)</f>
        <v>67524.163200000039</v>
      </c>
    </row>
    <row r="187" spans="2:20" x14ac:dyDescent="0.25">
      <c r="B187" s="34" t="s">
        <v>68</v>
      </c>
      <c r="C187" s="34">
        <f t="shared" ref="C187:N187" si="99">C186*20%</f>
        <v>1125.4027200000005</v>
      </c>
      <c r="D187" s="34">
        <f t="shared" si="99"/>
        <v>1125.4027200000005</v>
      </c>
      <c r="E187" s="34">
        <f t="shared" si="99"/>
        <v>1125.4027200000005</v>
      </c>
      <c r="F187" s="34">
        <f t="shared" si="99"/>
        <v>1125.4027200000005</v>
      </c>
      <c r="G187" s="34">
        <f t="shared" si="99"/>
        <v>1125.4027200000005</v>
      </c>
      <c r="H187" s="34">
        <f t="shared" si="99"/>
        <v>1125.4027200000005</v>
      </c>
      <c r="I187" s="34">
        <f t="shared" si="99"/>
        <v>1125.4027200000005</v>
      </c>
      <c r="J187" s="34">
        <f t="shared" si="99"/>
        <v>1125.4027200000005</v>
      </c>
      <c r="K187" s="34">
        <f t="shared" si="99"/>
        <v>1125.4027200000005</v>
      </c>
      <c r="L187" s="34">
        <f t="shared" si="99"/>
        <v>1125.4027200000005</v>
      </c>
      <c r="M187" s="34">
        <f t="shared" si="99"/>
        <v>1125.4027200000005</v>
      </c>
      <c r="N187" s="34">
        <f t="shared" si="99"/>
        <v>1125.4027200000005</v>
      </c>
      <c r="O187" s="34"/>
      <c r="P187" s="34"/>
    </row>
    <row r="188" spans="2:20" x14ac:dyDescent="0.25">
      <c r="B188" s="34" t="s">
        <v>69</v>
      </c>
      <c r="C188" s="34">
        <f t="shared" ref="C188:N188" si="100">C186+C187</f>
        <v>6752.4163200000021</v>
      </c>
      <c r="D188" s="34">
        <f t="shared" si="100"/>
        <v>6752.4163200000021</v>
      </c>
      <c r="E188" s="34">
        <f t="shared" si="100"/>
        <v>6752.4163200000021</v>
      </c>
      <c r="F188" s="34">
        <f t="shared" si="100"/>
        <v>6752.4163200000021</v>
      </c>
      <c r="G188" s="34">
        <f t="shared" si="100"/>
        <v>6752.4163200000021</v>
      </c>
      <c r="H188" s="34">
        <f t="shared" si="100"/>
        <v>6752.4163200000021</v>
      </c>
      <c r="I188" s="34">
        <f t="shared" si="100"/>
        <v>6752.4163200000021</v>
      </c>
      <c r="J188" s="34">
        <f t="shared" si="100"/>
        <v>6752.4163200000021</v>
      </c>
      <c r="K188" s="34">
        <f t="shared" si="100"/>
        <v>6752.4163200000021</v>
      </c>
      <c r="L188" s="34">
        <f t="shared" si="100"/>
        <v>6752.4163200000021</v>
      </c>
      <c r="M188" s="34">
        <f t="shared" si="100"/>
        <v>6752.4163200000021</v>
      </c>
      <c r="N188" s="34">
        <f t="shared" si="100"/>
        <v>6752.4163200000021</v>
      </c>
      <c r="O188" s="34"/>
      <c r="P188" s="34"/>
    </row>
    <row r="189" spans="2:20" x14ac:dyDescent="0.25">
      <c r="B189" s="59" t="s">
        <v>139</v>
      </c>
      <c r="C189" s="59">
        <f>Y169</f>
        <v>6555.7439999999997</v>
      </c>
      <c r="D189" s="59">
        <f>C188</f>
        <v>6752.4163200000021</v>
      </c>
      <c r="E189" s="59">
        <f t="shared" ref="E189:N189" si="101">D188</f>
        <v>6752.4163200000021</v>
      </c>
      <c r="F189" s="59">
        <f t="shared" si="101"/>
        <v>6752.4163200000021</v>
      </c>
      <c r="G189" s="59">
        <f t="shared" si="101"/>
        <v>6752.4163200000021</v>
      </c>
      <c r="H189" s="59">
        <f t="shared" si="101"/>
        <v>6752.4163200000021</v>
      </c>
      <c r="I189" s="59">
        <f t="shared" si="101"/>
        <v>6752.4163200000021</v>
      </c>
      <c r="J189" s="59">
        <f t="shared" si="101"/>
        <v>6752.4163200000021</v>
      </c>
      <c r="K189" s="59">
        <f t="shared" si="101"/>
        <v>6752.4163200000021</v>
      </c>
      <c r="L189" s="59">
        <f t="shared" si="101"/>
        <v>6752.4163200000021</v>
      </c>
      <c r="M189" s="59">
        <f t="shared" si="101"/>
        <v>6752.4163200000021</v>
      </c>
      <c r="N189" s="59">
        <f t="shared" si="101"/>
        <v>6752.4163200000021</v>
      </c>
      <c r="O189" s="60" t="s">
        <v>72</v>
      </c>
      <c r="P189" s="61">
        <f>N188</f>
        <v>6752.4163200000021</v>
      </c>
    </row>
    <row r="192" spans="2:20" x14ac:dyDescent="0.25">
      <c r="B192" s="288" t="s">
        <v>155</v>
      </c>
      <c r="C192" s="288"/>
      <c r="D192" s="288"/>
      <c r="E192" s="288"/>
      <c r="F192" s="288"/>
      <c r="G192" s="288"/>
      <c r="H192" s="288"/>
      <c r="I192" s="288"/>
      <c r="J192" s="288"/>
      <c r="K192" s="288"/>
      <c r="L192" s="288"/>
      <c r="M192" s="288"/>
      <c r="N192" s="288"/>
      <c r="O192" s="288"/>
      <c r="P192" s="288"/>
    </row>
    <row r="193" spans="2:16" x14ac:dyDescent="0.25">
      <c r="B193" s="213"/>
      <c r="C193" s="215" t="s">
        <v>50</v>
      </c>
      <c r="D193" s="215" t="s">
        <v>51</v>
      </c>
      <c r="E193" s="215" t="s">
        <v>52</v>
      </c>
      <c r="F193" s="215" t="s">
        <v>53</v>
      </c>
      <c r="G193" s="215" t="s">
        <v>54</v>
      </c>
      <c r="H193" s="215" t="s">
        <v>55</v>
      </c>
      <c r="I193" s="215" t="s">
        <v>56</v>
      </c>
      <c r="J193" s="215" t="s">
        <v>57</v>
      </c>
      <c r="K193" s="215" t="s">
        <v>58</v>
      </c>
      <c r="L193" s="215" t="s">
        <v>59</v>
      </c>
      <c r="M193" s="215" t="s">
        <v>60</v>
      </c>
      <c r="N193" s="215" t="s">
        <v>61</v>
      </c>
      <c r="O193" s="220" t="s">
        <v>62</v>
      </c>
      <c r="P193" s="221"/>
    </row>
    <row r="194" spans="2:16" x14ac:dyDescent="0.25">
      <c r="B194" s="214"/>
      <c r="C194" s="216"/>
      <c r="D194" s="216"/>
      <c r="E194" s="216"/>
      <c r="F194" s="216"/>
      <c r="G194" s="216"/>
      <c r="H194" s="216"/>
      <c r="I194" s="216"/>
      <c r="J194" s="216"/>
      <c r="K194" s="216"/>
      <c r="L194" s="216"/>
      <c r="M194" s="216"/>
      <c r="N194" s="216"/>
      <c r="O194" s="58" t="s">
        <v>64</v>
      </c>
      <c r="P194" s="58" t="s">
        <v>65</v>
      </c>
    </row>
    <row r="195" spans="2:16" x14ac:dyDescent="0.25">
      <c r="B195" s="35" t="s">
        <v>77</v>
      </c>
      <c r="C195" s="35">
        <f t="shared" ref="C195:N195" si="102">C186*34%</f>
        <v>1913.1846240000009</v>
      </c>
      <c r="D195" s="35">
        <f t="shared" si="102"/>
        <v>1913.1846240000009</v>
      </c>
      <c r="E195" s="35">
        <f t="shared" si="102"/>
        <v>1913.1846240000009</v>
      </c>
      <c r="F195" s="35">
        <f t="shared" si="102"/>
        <v>1913.1846240000009</v>
      </c>
      <c r="G195" s="35">
        <f t="shared" si="102"/>
        <v>1913.1846240000009</v>
      </c>
      <c r="H195" s="35">
        <f t="shared" si="102"/>
        <v>1913.1846240000009</v>
      </c>
      <c r="I195" s="35">
        <f t="shared" si="102"/>
        <v>1913.1846240000009</v>
      </c>
      <c r="J195" s="35">
        <f t="shared" si="102"/>
        <v>1913.1846240000009</v>
      </c>
      <c r="K195" s="35">
        <f t="shared" si="102"/>
        <v>1913.1846240000009</v>
      </c>
      <c r="L195" s="35">
        <f t="shared" si="102"/>
        <v>1913.1846240000009</v>
      </c>
      <c r="M195" s="35">
        <f t="shared" si="102"/>
        <v>1913.1846240000009</v>
      </c>
      <c r="N195" s="35">
        <f t="shared" si="102"/>
        <v>1913.1846240000009</v>
      </c>
      <c r="O195" s="60" t="s">
        <v>78</v>
      </c>
      <c r="P195" s="61">
        <f>SUM(C195:N195)</f>
        <v>22958.215488000013</v>
      </c>
    </row>
    <row r="196" spans="2:16" x14ac:dyDescent="0.25">
      <c r="B196" s="34" t="s">
        <v>79</v>
      </c>
      <c r="C196" s="34">
        <f t="shared" ref="C196:N196" si="103">C195*20%</f>
        <v>382.6369248000002</v>
      </c>
      <c r="D196" s="34">
        <f t="shared" si="103"/>
        <v>382.6369248000002</v>
      </c>
      <c r="E196" s="34">
        <f t="shared" si="103"/>
        <v>382.6369248000002</v>
      </c>
      <c r="F196" s="34">
        <f t="shared" si="103"/>
        <v>382.6369248000002</v>
      </c>
      <c r="G196" s="34">
        <f t="shared" si="103"/>
        <v>382.6369248000002</v>
      </c>
      <c r="H196" s="34">
        <f t="shared" si="103"/>
        <v>382.6369248000002</v>
      </c>
      <c r="I196" s="34">
        <f t="shared" si="103"/>
        <v>382.6369248000002</v>
      </c>
      <c r="J196" s="34">
        <f t="shared" si="103"/>
        <v>382.6369248000002</v>
      </c>
      <c r="K196" s="34">
        <f t="shared" si="103"/>
        <v>382.6369248000002</v>
      </c>
      <c r="L196" s="34">
        <f t="shared" si="103"/>
        <v>382.6369248000002</v>
      </c>
      <c r="M196" s="34">
        <f t="shared" si="103"/>
        <v>382.6369248000002</v>
      </c>
      <c r="N196" s="34">
        <f t="shared" si="103"/>
        <v>382.6369248000002</v>
      </c>
      <c r="O196" s="34"/>
      <c r="P196" s="34"/>
    </row>
    <row r="197" spans="2:16" x14ac:dyDescent="0.25">
      <c r="B197" s="34" t="s">
        <v>80</v>
      </c>
      <c r="C197" s="34">
        <f t="shared" ref="C197:N197" si="104">C195+C196</f>
        <v>2295.821548800001</v>
      </c>
      <c r="D197" s="34">
        <f t="shared" si="104"/>
        <v>2295.821548800001</v>
      </c>
      <c r="E197" s="34">
        <f t="shared" si="104"/>
        <v>2295.821548800001</v>
      </c>
      <c r="F197" s="34">
        <f t="shared" si="104"/>
        <v>2295.821548800001</v>
      </c>
      <c r="G197" s="34">
        <f t="shared" si="104"/>
        <v>2295.821548800001</v>
      </c>
      <c r="H197" s="34">
        <f t="shared" si="104"/>
        <v>2295.821548800001</v>
      </c>
      <c r="I197" s="34">
        <f t="shared" si="104"/>
        <v>2295.821548800001</v>
      </c>
      <c r="J197" s="34">
        <f t="shared" si="104"/>
        <v>2295.821548800001</v>
      </c>
      <c r="K197" s="34">
        <f t="shared" si="104"/>
        <v>2295.821548800001</v>
      </c>
      <c r="L197" s="34">
        <f t="shared" si="104"/>
        <v>2295.821548800001</v>
      </c>
      <c r="M197" s="34">
        <f t="shared" si="104"/>
        <v>2295.821548800001</v>
      </c>
      <c r="N197" s="34">
        <f t="shared" si="104"/>
        <v>2295.821548800001</v>
      </c>
      <c r="O197" s="34"/>
      <c r="P197" s="34"/>
    </row>
    <row r="198" spans="2:16" x14ac:dyDescent="0.25">
      <c r="B198" s="59" t="s">
        <v>81</v>
      </c>
      <c r="C198" s="59">
        <f t="shared" ref="C198:N198" si="105">C197</f>
        <v>2295.821548800001</v>
      </c>
      <c r="D198" s="59">
        <f t="shared" si="105"/>
        <v>2295.821548800001</v>
      </c>
      <c r="E198" s="59">
        <f t="shared" si="105"/>
        <v>2295.821548800001</v>
      </c>
      <c r="F198" s="59">
        <f t="shared" si="105"/>
        <v>2295.821548800001</v>
      </c>
      <c r="G198" s="59">
        <f t="shared" si="105"/>
        <v>2295.821548800001</v>
      </c>
      <c r="H198" s="59">
        <f t="shared" si="105"/>
        <v>2295.821548800001</v>
      </c>
      <c r="I198" s="59">
        <f t="shared" si="105"/>
        <v>2295.821548800001</v>
      </c>
      <c r="J198" s="59">
        <f t="shared" si="105"/>
        <v>2295.821548800001</v>
      </c>
      <c r="K198" s="59">
        <f t="shared" si="105"/>
        <v>2295.821548800001</v>
      </c>
      <c r="L198" s="59">
        <f t="shared" si="105"/>
        <v>2295.821548800001</v>
      </c>
      <c r="M198" s="59">
        <f t="shared" si="105"/>
        <v>2295.821548800001</v>
      </c>
      <c r="N198" s="59">
        <f t="shared" si="105"/>
        <v>2295.821548800001</v>
      </c>
      <c r="O198" s="60" t="s">
        <v>82</v>
      </c>
      <c r="P198" s="61">
        <v>0</v>
      </c>
    </row>
    <row r="201" spans="2:16" x14ac:dyDescent="0.25">
      <c r="B201" s="288" t="s">
        <v>156</v>
      </c>
      <c r="C201" s="288"/>
      <c r="D201" s="288"/>
      <c r="E201" s="288"/>
      <c r="F201" s="288"/>
      <c r="G201" s="288"/>
      <c r="H201" s="288"/>
      <c r="I201" s="288"/>
      <c r="J201" s="288"/>
      <c r="K201" s="288"/>
      <c r="L201" s="288"/>
      <c r="M201" s="288"/>
      <c r="N201" s="288"/>
      <c r="O201" s="288"/>
      <c r="P201" s="288"/>
    </row>
    <row r="202" spans="2:16" x14ac:dyDescent="0.25">
      <c r="B202" s="213"/>
      <c r="C202" s="215" t="s">
        <v>50</v>
      </c>
      <c r="D202" s="215" t="s">
        <v>51</v>
      </c>
      <c r="E202" s="215" t="s">
        <v>52</v>
      </c>
      <c r="F202" s="215" t="s">
        <v>53</v>
      </c>
      <c r="G202" s="215" t="s">
        <v>54</v>
      </c>
      <c r="H202" s="215" t="s">
        <v>55</v>
      </c>
      <c r="I202" s="215" t="s">
        <v>56</v>
      </c>
      <c r="J202" s="215" t="s">
        <v>57</v>
      </c>
      <c r="K202" s="215" t="s">
        <v>58</v>
      </c>
      <c r="L202" s="215" t="s">
        <v>59</v>
      </c>
      <c r="M202" s="215" t="s">
        <v>60</v>
      </c>
      <c r="N202" s="215" t="s">
        <v>61</v>
      </c>
      <c r="O202" s="220" t="s">
        <v>62</v>
      </c>
      <c r="P202" s="221"/>
    </row>
    <row r="203" spans="2:16" x14ac:dyDescent="0.25">
      <c r="B203" s="231"/>
      <c r="C203" s="232"/>
      <c r="D203" s="232"/>
      <c r="E203" s="232"/>
      <c r="F203" s="232"/>
      <c r="G203" s="232"/>
      <c r="H203" s="232"/>
      <c r="I203" s="232"/>
      <c r="J203" s="232"/>
      <c r="K203" s="232"/>
      <c r="L203" s="232"/>
      <c r="M203" s="232"/>
      <c r="N203" s="232"/>
      <c r="O203" s="58" t="s">
        <v>64</v>
      </c>
      <c r="P203" s="58" t="s">
        <v>65</v>
      </c>
    </row>
    <row r="204" spans="2:16" x14ac:dyDescent="0.25">
      <c r="B204" s="21" t="s">
        <v>84</v>
      </c>
      <c r="C204" s="21">
        <v>7100</v>
      </c>
      <c r="D204" s="21">
        <v>7100</v>
      </c>
      <c r="E204" s="21">
        <v>7100</v>
      </c>
      <c r="F204" s="21">
        <v>7100</v>
      </c>
      <c r="G204" s="21">
        <v>7100</v>
      </c>
      <c r="H204" s="21">
        <v>7100</v>
      </c>
      <c r="I204" s="21">
        <v>7100</v>
      </c>
      <c r="J204" s="21">
        <v>7100</v>
      </c>
      <c r="K204" s="21">
        <v>7100</v>
      </c>
      <c r="L204" s="21">
        <v>7100</v>
      </c>
      <c r="M204" s="21">
        <v>7100</v>
      </c>
      <c r="N204" s="22">
        <v>7100</v>
      </c>
      <c r="O204" s="60" t="s">
        <v>85</v>
      </c>
      <c r="P204" s="61">
        <f>SUM(C204:N204)</f>
        <v>85200</v>
      </c>
    </row>
    <row r="205" spans="2:16" x14ac:dyDescent="0.25">
      <c r="B205" s="21" t="s">
        <v>86</v>
      </c>
      <c r="C205" s="21">
        <f t="shared" ref="C205:N205" si="106">C204*20%</f>
        <v>1420</v>
      </c>
      <c r="D205" s="21">
        <f t="shared" si="106"/>
        <v>1420</v>
      </c>
      <c r="E205" s="21">
        <f t="shared" si="106"/>
        <v>1420</v>
      </c>
      <c r="F205" s="21">
        <f t="shared" si="106"/>
        <v>1420</v>
      </c>
      <c r="G205" s="21">
        <f t="shared" si="106"/>
        <v>1420</v>
      </c>
      <c r="H205" s="21">
        <f t="shared" si="106"/>
        <v>1420</v>
      </c>
      <c r="I205" s="21">
        <f t="shared" si="106"/>
        <v>1420</v>
      </c>
      <c r="J205" s="21">
        <f t="shared" si="106"/>
        <v>1420</v>
      </c>
      <c r="K205" s="21">
        <f t="shared" si="106"/>
        <v>1420</v>
      </c>
      <c r="L205" s="21">
        <f t="shared" si="106"/>
        <v>1420</v>
      </c>
      <c r="M205" s="21">
        <f t="shared" si="106"/>
        <v>1420</v>
      </c>
      <c r="N205" s="22">
        <f t="shared" si="106"/>
        <v>1420</v>
      </c>
      <c r="O205" s="47"/>
      <c r="P205" s="48"/>
    </row>
    <row r="206" spans="2:16" x14ac:dyDescent="0.25">
      <c r="B206" s="23" t="s">
        <v>87</v>
      </c>
      <c r="C206" s="23">
        <f t="shared" ref="C206:N206" si="107">C204+C205</f>
        <v>8520</v>
      </c>
      <c r="D206" s="23">
        <f t="shared" si="107"/>
        <v>8520</v>
      </c>
      <c r="E206" s="23">
        <f t="shared" si="107"/>
        <v>8520</v>
      </c>
      <c r="F206" s="23">
        <f t="shared" si="107"/>
        <v>8520</v>
      </c>
      <c r="G206" s="23">
        <f t="shared" si="107"/>
        <v>8520</v>
      </c>
      <c r="H206" s="23">
        <f t="shared" si="107"/>
        <v>8520</v>
      </c>
      <c r="I206" s="23">
        <f t="shared" si="107"/>
        <v>8520</v>
      </c>
      <c r="J206" s="23">
        <f t="shared" si="107"/>
        <v>8520</v>
      </c>
      <c r="K206" s="23">
        <f t="shared" si="107"/>
        <v>8520</v>
      </c>
      <c r="L206" s="23">
        <f t="shared" si="107"/>
        <v>8520</v>
      </c>
      <c r="M206" s="23">
        <f t="shared" si="107"/>
        <v>8520</v>
      </c>
      <c r="N206" s="25">
        <f t="shared" si="107"/>
        <v>8520</v>
      </c>
      <c r="O206" s="34"/>
      <c r="P206" s="34"/>
    </row>
    <row r="207" spans="2:16" x14ac:dyDescent="0.25">
      <c r="B207" s="59" t="s">
        <v>81</v>
      </c>
      <c r="C207" s="59">
        <f t="shared" ref="C207:N207" si="108">+C204+C205</f>
        <v>8520</v>
      </c>
      <c r="D207" s="59">
        <f t="shared" si="108"/>
        <v>8520</v>
      </c>
      <c r="E207" s="59">
        <f t="shared" si="108"/>
        <v>8520</v>
      </c>
      <c r="F207" s="59">
        <f t="shared" si="108"/>
        <v>8520</v>
      </c>
      <c r="G207" s="59">
        <f t="shared" si="108"/>
        <v>8520</v>
      </c>
      <c r="H207" s="59">
        <f t="shared" si="108"/>
        <v>8520</v>
      </c>
      <c r="I207" s="59">
        <f t="shared" si="108"/>
        <v>8520</v>
      </c>
      <c r="J207" s="59">
        <f t="shared" si="108"/>
        <v>8520</v>
      </c>
      <c r="K207" s="59">
        <f t="shared" si="108"/>
        <v>8520</v>
      </c>
      <c r="L207" s="59">
        <f t="shared" si="108"/>
        <v>8520</v>
      </c>
      <c r="M207" s="59">
        <f t="shared" si="108"/>
        <v>8520</v>
      </c>
      <c r="N207" s="59">
        <f t="shared" si="108"/>
        <v>8520</v>
      </c>
      <c r="O207" s="47"/>
      <c r="P207" s="34"/>
    </row>
    <row r="208" spans="2:16" x14ac:dyDescent="0.25">
      <c r="B208" s="28" t="s">
        <v>89</v>
      </c>
      <c r="C208" s="21"/>
      <c r="D208" s="21"/>
      <c r="E208" s="21"/>
      <c r="F208" s="21"/>
      <c r="G208" s="21"/>
      <c r="H208" s="21"/>
      <c r="I208" s="21"/>
      <c r="J208" s="21"/>
      <c r="K208" s="21"/>
      <c r="L208" s="21"/>
      <c r="M208" s="21"/>
      <c r="N208" s="22">
        <v>7500</v>
      </c>
      <c r="O208" s="34"/>
      <c r="P208" s="34"/>
    </row>
    <row r="209" spans="2:16" x14ac:dyDescent="0.25">
      <c r="B209" s="26" t="s">
        <v>144</v>
      </c>
      <c r="C209" s="27"/>
      <c r="D209" s="21"/>
      <c r="E209" s="21"/>
      <c r="F209" s="21"/>
      <c r="G209" s="21"/>
      <c r="H209" s="21"/>
      <c r="I209" s="21"/>
      <c r="J209" s="21"/>
      <c r="K209" s="21"/>
      <c r="L209" s="21"/>
      <c r="M209" s="21"/>
      <c r="N209" s="22">
        <f>Emprunt!K6</f>
        <v>3214.2857142857142</v>
      </c>
      <c r="O209" s="61" t="s">
        <v>144</v>
      </c>
      <c r="P209" s="61">
        <f>N209</f>
        <v>3214.2857142857142</v>
      </c>
    </row>
    <row r="210" spans="2:16" x14ac:dyDescent="0.25">
      <c r="B210" s="30" t="s">
        <v>145</v>
      </c>
      <c r="C210" s="31"/>
      <c r="D210" s="31"/>
      <c r="E210" s="31"/>
      <c r="F210" s="31"/>
      <c r="G210" s="31"/>
      <c r="H210" s="31"/>
      <c r="I210" s="31"/>
      <c r="J210" s="31"/>
      <c r="K210" s="31"/>
      <c r="L210" s="31"/>
      <c r="M210" s="31"/>
      <c r="N210" s="32">
        <f>Emprunt!K15</f>
        <v>1700</v>
      </c>
      <c r="O210" s="61" t="s">
        <v>90</v>
      </c>
      <c r="P210" s="61">
        <f>N210</f>
        <v>1700</v>
      </c>
    </row>
    <row r="211" spans="2:16" x14ac:dyDescent="0.25">
      <c r="B211" s="24" t="s">
        <v>158</v>
      </c>
      <c r="C211" s="21"/>
      <c r="D211" s="21"/>
      <c r="E211" s="21"/>
      <c r="F211" s="21"/>
      <c r="G211" s="21"/>
      <c r="H211" s="21"/>
      <c r="I211" s="21"/>
      <c r="J211" s="21"/>
      <c r="K211" s="21"/>
      <c r="L211" s="21"/>
      <c r="M211" s="21"/>
      <c r="N211" s="32">
        <f>Emprunt!K28</f>
        <v>3200</v>
      </c>
      <c r="O211" s="61" t="s">
        <v>158</v>
      </c>
      <c r="P211" s="61">
        <f>N211</f>
        <v>3200</v>
      </c>
    </row>
    <row r="212" spans="2:16" x14ac:dyDescent="0.25">
      <c r="B212" s="59" t="s">
        <v>94</v>
      </c>
      <c r="C212" s="59">
        <f t="shared" ref="C212:M212" si="109">C208+C209</f>
        <v>0</v>
      </c>
      <c r="D212" s="59">
        <f t="shared" si="109"/>
        <v>0</v>
      </c>
      <c r="E212" s="59">
        <f t="shared" si="109"/>
        <v>0</v>
      </c>
      <c r="F212" s="59">
        <f t="shared" si="109"/>
        <v>0</v>
      </c>
      <c r="G212" s="59">
        <f t="shared" si="109"/>
        <v>0</v>
      </c>
      <c r="H212" s="59">
        <f t="shared" si="109"/>
        <v>0</v>
      </c>
      <c r="I212" s="59">
        <f t="shared" si="109"/>
        <v>0</v>
      </c>
      <c r="J212" s="59">
        <f t="shared" si="109"/>
        <v>0</v>
      </c>
      <c r="K212" s="59">
        <f t="shared" si="109"/>
        <v>0</v>
      </c>
      <c r="L212" s="59">
        <f t="shared" si="109"/>
        <v>0</v>
      </c>
      <c r="M212" s="59">
        <f t="shared" si="109"/>
        <v>0</v>
      </c>
      <c r="N212" s="59">
        <f>N208+N209+N210+N211</f>
        <v>15614.285714285714</v>
      </c>
      <c r="O212" s="60" t="s">
        <v>93</v>
      </c>
      <c r="P212" s="61">
        <f>SUM(C212:N212)</f>
        <v>15614.285714285714</v>
      </c>
    </row>
    <row r="213" spans="2:16" x14ac:dyDescent="0.25">
      <c r="B213" s="21" t="s">
        <v>95</v>
      </c>
      <c r="C213" s="21">
        <f t="shared" ref="C213:N213" si="110">307500/12</f>
        <v>25625</v>
      </c>
      <c r="D213" s="21">
        <f t="shared" si="110"/>
        <v>25625</v>
      </c>
      <c r="E213" s="21">
        <f t="shared" si="110"/>
        <v>25625</v>
      </c>
      <c r="F213" s="21">
        <f t="shared" si="110"/>
        <v>25625</v>
      </c>
      <c r="G213" s="21">
        <f t="shared" si="110"/>
        <v>25625</v>
      </c>
      <c r="H213" s="21">
        <f t="shared" si="110"/>
        <v>25625</v>
      </c>
      <c r="I213" s="21">
        <f t="shared" si="110"/>
        <v>25625</v>
      </c>
      <c r="J213" s="21">
        <f t="shared" si="110"/>
        <v>25625</v>
      </c>
      <c r="K213" s="21">
        <f t="shared" si="110"/>
        <v>25625</v>
      </c>
      <c r="L213" s="21">
        <f t="shared" si="110"/>
        <v>25625</v>
      </c>
      <c r="M213" s="21">
        <f t="shared" si="110"/>
        <v>25625</v>
      </c>
      <c r="N213" s="22">
        <f t="shared" si="110"/>
        <v>25625</v>
      </c>
      <c r="O213" s="47"/>
      <c r="P213" s="48"/>
    </row>
    <row r="214" spans="2:16" x14ac:dyDescent="0.25">
      <c r="B214" s="59" t="s">
        <v>96</v>
      </c>
      <c r="C214" s="59">
        <f t="shared" ref="C214:N214" si="111">C213</f>
        <v>25625</v>
      </c>
      <c r="D214" s="59">
        <f t="shared" si="111"/>
        <v>25625</v>
      </c>
      <c r="E214" s="59">
        <f t="shared" si="111"/>
        <v>25625</v>
      </c>
      <c r="F214" s="59">
        <f t="shared" si="111"/>
        <v>25625</v>
      </c>
      <c r="G214" s="59">
        <f t="shared" si="111"/>
        <v>25625</v>
      </c>
      <c r="H214" s="59">
        <f t="shared" si="111"/>
        <v>25625</v>
      </c>
      <c r="I214" s="59">
        <f t="shared" si="111"/>
        <v>25625</v>
      </c>
      <c r="J214" s="59">
        <f t="shared" si="111"/>
        <v>25625</v>
      </c>
      <c r="K214" s="59">
        <f t="shared" si="111"/>
        <v>25625</v>
      </c>
      <c r="L214" s="59">
        <f t="shared" si="111"/>
        <v>25625</v>
      </c>
      <c r="M214" s="59">
        <f t="shared" si="111"/>
        <v>25625</v>
      </c>
      <c r="N214" s="59">
        <f t="shared" si="111"/>
        <v>25625</v>
      </c>
      <c r="O214" s="60" t="s">
        <v>97</v>
      </c>
      <c r="P214" s="61">
        <f>SUM(C214:N214)</f>
        <v>307500</v>
      </c>
    </row>
    <row r="215" spans="2:16" x14ac:dyDescent="0.25">
      <c r="B215" s="21" t="s">
        <v>21</v>
      </c>
      <c r="C215" s="21">
        <f t="shared" ref="C215:N215" si="112">C213*0.4</f>
        <v>10250</v>
      </c>
      <c r="D215" s="21">
        <f t="shared" si="112"/>
        <v>10250</v>
      </c>
      <c r="E215" s="21">
        <f t="shared" si="112"/>
        <v>10250</v>
      </c>
      <c r="F215" s="21">
        <f t="shared" si="112"/>
        <v>10250</v>
      </c>
      <c r="G215" s="21">
        <f t="shared" si="112"/>
        <v>10250</v>
      </c>
      <c r="H215" s="21">
        <f t="shared" si="112"/>
        <v>10250</v>
      </c>
      <c r="I215" s="21">
        <f t="shared" si="112"/>
        <v>10250</v>
      </c>
      <c r="J215" s="21">
        <f t="shared" si="112"/>
        <v>10250</v>
      </c>
      <c r="K215" s="21">
        <f t="shared" si="112"/>
        <v>10250</v>
      </c>
      <c r="L215" s="21">
        <f t="shared" si="112"/>
        <v>10250</v>
      </c>
      <c r="M215" s="21">
        <f t="shared" si="112"/>
        <v>10250</v>
      </c>
      <c r="N215" s="22">
        <f t="shared" si="112"/>
        <v>10250</v>
      </c>
      <c r="O215" s="60" t="s">
        <v>98</v>
      </c>
      <c r="P215" s="61">
        <f>SUM(C215:N215)</f>
        <v>123000</v>
      </c>
    </row>
    <row r="216" spans="2:16" x14ac:dyDescent="0.25">
      <c r="B216" s="59" t="s">
        <v>99</v>
      </c>
      <c r="C216" s="59">
        <f>P125</f>
        <v>10250</v>
      </c>
      <c r="D216" s="59">
        <f t="shared" ref="D216:N216" si="113">C215</f>
        <v>10250</v>
      </c>
      <c r="E216" s="59">
        <f t="shared" si="113"/>
        <v>10250</v>
      </c>
      <c r="F216" s="59">
        <f t="shared" si="113"/>
        <v>10250</v>
      </c>
      <c r="G216" s="59">
        <f t="shared" si="113"/>
        <v>10250</v>
      </c>
      <c r="H216" s="59">
        <f t="shared" si="113"/>
        <v>10250</v>
      </c>
      <c r="I216" s="59">
        <f t="shared" si="113"/>
        <v>10250</v>
      </c>
      <c r="J216" s="59">
        <f t="shared" si="113"/>
        <v>10250</v>
      </c>
      <c r="K216" s="59">
        <f t="shared" si="113"/>
        <v>10250</v>
      </c>
      <c r="L216" s="59">
        <f t="shared" si="113"/>
        <v>10250</v>
      </c>
      <c r="M216" s="59">
        <f t="shared" si="113"/>
        <v>10250</v>
      </c>
      <c r="N216" s="59">
        <f t="shared" si="113"/>
        <v>10250</v>
      </c>
      <c r="O216" s="60" t="s">
        <v>100</v>
      </c>
      <c r="P216" s="61">
        <f>N215</f>
        <v>10250</v>
      </c>
    </row>
    <row r="219" spans="2:16" x14ac:dyDescent="0.25">
      <c r="B219" s="288" t="s">
        <v>160</v>
      </c>
      <c r="C219" s="288"/>
      <c r="D219" s="288"/>
      <c r="E219" s="288"/>
      <c r="F219" s="288"/>
      <c r="G219" s="288"/>
      <c r="H219" s="288"/>
      <c r="I219" s="288"/>
      <c r="J219" s="288"/>
      <c r="K219" s="288"/>
      <c r="L219" s="288"/>
      <c r="M219" s="288"/>
      <c r="N219" s="288"/>
      <c r="O219" s="288"/>
      <c r="P219" s="288"/>
    </row>
    <row r="220" spans="2:16" x14ac:dyDescent="0.25">
      <c r="B220" s="213"/>
      <c r="C220" s="215" t="s">
        <v>50</v>
      </c>
      <c r="D220" s="215" t="s">
        <v>51</v>
      </c>
      <c r="E220" s="215" t="s">
        <v>52</v>
      </c>
      <c r="F220" s="215" t="s">
        <v>53</v>
      </c>
      <c r="G220" s="215" t="s">
        <v>54</v>
      </c>
      <c r="H220" s="215" t="s">
        <v>55</v>
      </c>
      <c r="I220" s="215" t="s">
        <v>56</v>
      </c>
      <c r="J220" s="215" t="s">
        <v>57</v>
      </c>
      <c r="K220" s="215" t="s">
        <v>58</v>
      </c>
      <c r="L220" s="215" t="s">
        <v>59</v>
      </c>
      <c r="M220" s="215" t="s">
        <v>60</v>
      </c>
      <c r="N220" s="215" t="s">
        <v>61</v>
      </c>
      <c r="O220" s="220" t="s">
        <v>62</v>
      </c>
      <c r="P220" s="221"/>
    </row>
    <row r="221" spans="2:16" x14ac:dyDescent="0.25">
      <c r="B221" s="214"/>
      <c r="C221" s="216"/>
      <c r="D221" s="216"/>
      <c r="E221" s="216"/>
      <c r="F221" s="216"/>
      <c r="G221" s="216"/>
      <c r="H221" s="216"/>
      <c r="I221" s="216"/>
      <c r="J221" s="216"/>
      <c r="K221" s="216"/>
      <c r="L221" s="216"/>
      <c r="M221" s="216"/>
      <c r="N221" s="216"/>
      <c r="O221" s="58" t="s">
        <v>64</v>
      </c>
      <c r="P221" s="58" t="s">
        <v>65</v>
      </c>
    </row>
    <row r="222" spans="2:16" x14ac:dyDescent="0.25">
      <c r="B222" s="46" t="s">
        <v>102</v>
      </c>
      <c r="C222" s="35"/>
      <c r="D222" s="35"/>
      <c r="E222" s="35"/>
      <c r="F222" s="35"/>
      <c r="G222" s="35"/>
      <c r="H222" s="35"/>
      <c r="I222" s="35"/>
      <c r="J222" s="35"/>
      <c r="K222" s="35"/>
      <c r="L222" s="35">
        <v>8200</v>
      </c>
      <c r="M222" s="35"/>
      <c r="N222" s="35"/>
      <c r="O222" s="60" t="s">
        <v>103</v>
      </c>
      <c r="P222" s="61">
        <f>SUM(C222:N222)</f>
        <v>8200</v>
      </c>
    </row>
    <row r="223" spans="2:16" x14ac:dyDescent="0.25">
      <c r="B223" s="34" t="s">
        <v>105</v>
      </c>
      <c r="C223" s="34"/>
      <c r="D223" s="34"/>
      <c r="E223" s="34"/>
      <c r="F223" s="34"/>
      <c r="G223" s="34"/>
      <c r="H223" s="34"/>
      <c r="I223" s="34"/>
      <c r="J223" s="34"/>
      <c r="K223" s="34"/>
      <c r="L223" s="34">
        <v>8200</v>
      </c>
      <c r="M223" s="34"/>
      <c r="N223" s="34"/>
      <c r="O223" s="34"/>
      <c r="P223" s="34"/>
    </row>
    <row r="224" spans="2:16" x14ac:dyDescent="0.25">
      <c r="B224" s="34" t="s">
        <v>106</v>
      </c>
      <c r="C224" s="34"/>
      <c r="D224" s="34"/>
      <c r="E224" s="34"/>
      <c r="F224" s="34"/>
      <c r="G224" s="34"/>
      <c r="H224" s="34"/>
      <c r="I224" s="34"/>
      <c r="J224" s="34"/>
      <c r="K224" s="34"/>
      <c r="L224" s="34"/>
      <c r="M224" s="34"/>
      <c r="N224" s="34"/>
      <c r="O224" s="60" t="s">
        <v>107</v>
      </c>
      <c r="P224" s="61"/>
    </row>
    <row r="225" spans="2:31" x14ac:dyDescent="0.25">
      <c r="B225" s="34" t="s">
        <v>108</v>
      </c>
      <c r="C225" s="34">
        <f t="shared" ref="C225:N225" si="114">$P$225/12</f>
        <v>0</v>
      </c>
      <c r="D225" s="34">
        <f t="shared" si="114"/>
        <v>0</v>
      </c>
      <c r="E225" s="34">
        <f t="shared" si="114"/>
        <v>0</v>
      </c>
      <c r="F225" s="34">
        <f t="shared" si="114"/>
        <v>0</v>
      </c>
      <c r="G225" s="34">
        <f t="shared" si="114"/>
        <v>0</v>
      </c>
      <c r="H225" s="34">
        <f t="shared" si="114"/>
        <v>0</v>
      </c>
      <c r="I225" s="34">
        <f t="shared" si="114"/>
        <v>0</v>
      </c>
      <c r="J225" s="34">
        <f t="shared" si="114"/>
        <v>0</v>
      </c>
      <c r="K225" s="34">
        <f t="shared" si="114"/>
        <v>0</v>
      </c>
      <c r="L225" s="34">
        <f t="shared" si="114"/>
        <v>0</v>
      </c>
      <c r="M225" s="34">
        <f t="shared" si="114"/>
        <v>0</v>
      </c>
      <c r="N225" s="34">
        <f t="shared" si="114"/>
        <v>0</v>
      </c>
      <c r="O225" s="60" t="s">
        <v>109</v>
      </c>
      <c r="P225" s="61"/>
    </row>
    <row r="226" spans="2:31" x14ac:dyDescent="0.25">
      <c r="B226" s="59" t="s">
        <v>71</v>
      </c>
      <c r="C226" s="59">
        <f t="shared" ref="C226:N226" si="115">C224+C225</f>
        <v>0</v>
      </c>
      <c r="D226" s="59">
        <f t="shared" si="115"/>
        <v>0</v>
      </c>
      <c r="E226" s="59">
        <f t="shared" si="115"/>
        <v>0</v>
      </c>
      <c r="F226" s="59">
        <f t="shared" si="115"/>
        <v>0</v>
      </c>
      <c r="G226" s="59">
        <f t="shared" si="115"/>
        <v>0</v>
      </c>
      <c r="H226" s="59">
        <f t="shared" si="115"/>
        <v>0</v>
      </c>
      <c r="I226" s="59">
        <f t="shared" si="115"/>
        <v>0</v>
      </c>
      <c r="J226" s="59">
        <f t="shared" si="115"/>
        <v>0</v>
      </c>
      <c r="K226" s="59">
        <f t="shared" si="115"/>
        <v>0</v>
      </c>
      <c r="L226" s="59">
        <f t="shared" si="115"/>
        <v>0</v>
      </c>
      <c r="M226" s="59">
        <f t="shared" si="115"/>
        <v>0</v>
      </c>
      <c r="N226" s="59">
        <f t="shared" si="115"/>
        <v>0</v>
      </c>
      <c r="O226" s="38"/>
      <c r="P226" s="38"/>
    </row>
    <row r="229" spans="2:31" x14ac:dyDescent="0.25">
      <c r="B229" s="288" t="s">
        <v>161</v>
      </c>
      <c r="C229" s="288"/>
      <c r="D229" s="288"/>
      <c r="E229" s="288"/>
      <c r="F229" s="288"/>
      <c r="G229" s="288"/>
      <c r="H229" s="288"/>
      <c r="I229" s="288"/>
      <c r="J229" s="288"/>
      <c r="K229" s="288"/>
      <c r="L229" s="288"/>
      <c r="M229" s="288"/>
      <c r="N229" s="288"/>
      <c r="O229" s="288"/>
      <c r="P229" s="288"/>
    </row>
    <row r="230" spans="2:31" x14ac:dyDescent="0.25">
      <c r="B230" s="213"/>
      <c r="C230" s="215" t="s">
        <v>50</v>
      </c>
      <c r="D230" s="215" t="s">
        <v>51</v>
      </c>
      <c r="E230" s="215" t="s">
        <v>52</v>
      </c>
      <c r="F230" s="215" t="s">
        <v>53</v>
      </c>
      <c r="G230" s="215" t="s">
        <v>54</v>
      </c>
      <c r="H230" s="215" t="s">
        <v>55</v>
      </c>
      <c r="I230" s="215" t="s">
        <v>56</v>
      </c>
      <c r="J230" s="215" t="s">
        <v>57</v>
      </c>
      <c r="K230" s="215" t="s">
        <v>58</v>
      </c>
      <c r="L230" s="215" t="s">
        <v>59</v>
      </c>
      <c r="M230" s="215" t="s">
        <v>60</v>
      </c>
      <c r="N230" s="215" t="s">
        <v>61</v>
      </c>
      <c r="O230" s="220" t="s">
        <v>62</v>
      </c>
      <c r="P230" s="221"/>
    </row>
    <row r="231" spans="2:31" x14ac:dyDescent="0.25">
      <c r="B231" s="214"/>
      <c r="C231" s="216"/>
      <c r="D231" s="216"/>
      <c r="E231" s="216"/>
      <c r="F231" s="216"/>
      <c r="G231" s="216"/>
      <c r="H231" s="216"/>
      <c r="I231" s="216"/>
      <c r="J231" s="216"/>
      <c r="K231" s="216"/>
      <c r="L231" s="216"/>
      <c r="M231" s="216"/>
      <c r="N231" s="216"/>
      <c r="O231" s="58" t="s">
        <v>64</v>
      </c>
      <c r="P231" s="58" t="s">
        <v>65</v>
      </c>
    </row>
    <row r="232" spans="2:31" x14ac:dyDescent="0.25">
      <c r="B232" s="35" t="s">
        <v>111</v>
      </c>
      <c r="C232" s="35">
        <f>Emprunt!J28</f>
        <v>22400</v>
      </c>
      <c r="D232" s="35"/>
      <c r="E232" s="35"/>
      <c r="F232" s="35"/>
      <c r="G232" s="35"/>
      <c r="H232" s="35"/>
      <c r="I232" s="35"/>
      <c r="J232" s="35"/>
      <c r="K232" s="35"/>
      <c r="L232" s="35"/>
      <c r="M232" s="35"/>
      <c r="N232" s="35"/>
      <c r="O232" s="60" t="s">
        <v>112</v>
      </c>
      <c r="P232" s="61">
        <f>SUM(C232:N232)</f>
        <v>22400</v>
      </c>
    </row>
    <row r="233" spans="2:31" x14ac:dyDescent="0.25">
      <c r="B233" s="34" t="s">
        <v>113</v>
      </c>
      <c r="C233" s="34">
        <f t="shared" ref="C233:N233" si="116">C232*20%</f>
        <v>4480</v>
      </c>
      <c r="D233" s="34">
        <f t="shared" si="116"/>
        <v>0</v>
      </c>
      <c r="E233" s="34">
        <f t="shared" si="116"/>
        <v>0</v>
      </c>
      <c r="F233" s="34">
        <f t="shared" si="116"/>
        <v>0</v>
      </c>
      <c r="G233" s="34">
        <f t="shared" si="116"/>
        <v>0</v>
      </c>
      <c r="H233" s="34">
        <f t="shared" si="116"/>
        <v>0</v>
      </c>
      <c r="I233" s="34">
        <f t="shared" si="116"/>
        <v>0</v>
      </c>
      <c r="J233" s="34">
        <f t="shared" si="116"/>
        <v>0</v>
      </c>
      <c r="K233" s="34">
        <f t="shared" si="116"/>
        <v>0</v>
      </c>
      <c r="L233" s="34">
        <f t="shared" si="116"/>
        <v>0</v>
      </c>
      <c r="M233" s="34">
        <f t="shared" si="116"/>
        <v>0</v>
      </c>
      <c r="N233" s="34">
        <f t="shared" si="116"/>
        <v>0</v>
      </c>
      <c r="O233" s="34"/>
      <c r="P233" s="34"/>
    </row>
    <row r="234" spans="2:31" x14ac:dyDescent="0.25">
      <c r="B234" s="34" t="s">
        <v>114</v>
      </c>
      <c r="C234" s="34">
        <f t="shared" ref="C234:N234" si="117">C232+C233</f>
        <v>26880</v>
      </c>
      <c r="D234" s="34">
        <f t="shared" si="117"/>
        <v>0</v>
      </c>
      <c r="E234" s="34">
        <f t="shared" si="117"/>
        <v>0</v>
      </c>
      <c r="F234" s="34">
        <f t="shared" si="117"/>
        <v>0</v>
      </c>
      <c r="G234" s="34">
        <f t="shared" si="117"/>
        <v>0</v>
      </c>
      <c r="H234" s="34">
        <f t="shared" si="117"/>
        <v>0</v>
      </c>
      <c r="I234" s="34">
        <f t="shared" si="117"/>
        <v>0</v>
      </c>
      <c r="J234" s="34">
        <f t="shared" si="117"/>
        <v>0</v>
      </c>
      <c r="K234" s="34">
        <f t="shared" si="117"/>
        <v>0</v>
      </c>
      <c r="L234" s="34">
        <f t="shared" si="117"/>
        <v>0</v>
      </c>
      <c r="M234" s="34">
        <f t="shared" si="117"/>
        <v>0</v>
      </c>
      <c r="N234" s="34">
        <f t="shared" si="117"/>
        <v>0</v>
      </c>
      <c r="O234" s="34"/>
      <c r="P234" s="34"/>
      <c r="S234" s="283" t="s">
        <v>203</v>
      </c>
      <c r="T234" s="283" t="s">
        <v>50</v>
      </c>
      <c r="U234" s="283" t="s">
        <v>51</v>
      </c>
      <c r="V234" s="283" t="s">
        <v>52</v>
      </c>
      <c r="W234" s="283" t="s">
        <v>53</v>
      </c>
      <c r="X234" s="283" t="s">
        <v>54</v>
      </c>
      <c r="Y234" s="283" t="s">
        <v>55</v>
      </c>
      <c r="Z234" s="283" t="s">
        <v>56</v>
      </c>
      <c r="AA234" s="283" t="s">
        <v>57</v>
      </c>
      <c r="AB234" s="283" t="s">
        <v>58</v>
      </c>
      <c r="AC234" s="283" t="s">
        <v>59</v>
      </c>
      <c r="AD234" s="283" t="s">
        <v>60</v>
      </c>
      <c r="AE234" s="283" t="s">
        <v>61</v>
      </c>
    </row>
    <row r="235" spans="2:31" x14ac:dyDescent="0.25">
      <c r="B235" s="59" t="s">
        <v>81</v>
      </c>
      <c r="C235" s="59">
        <f t="shared" ref="C235:N235" si="118">C234</f>
        <v>26880</v>
      </c>
      <c r="D235" s="59">
        <f t="shared" si="118"/>
        <v>0</v>
      </c>
      <c r="E235" s="59">
        <f t="shared" si="118"/>
        <v>0</v>
      </c>
      <c r="F235" s="59">
        <f t="shared" si="118"/>
        <v>0</v>
      </c>
      <c r="G235" s="59">
        <f t="shared" si="118"/>
        <v>0</v>
      </c>
      <c r="H235" s="59">
        <f t="shared" si="118"/>
        <v>0</v>
      </c>
      <c r="I235" s="59">
        <f t="shared" si="118"/>
        <v>0</v>
      </c>
      <c r="J235" s="59">
        <f t="shared" si="118"/>
        <v>0</v>
      </c>
      <c r="K235" s="59">
        <f t="shared" si="118"/>
        <v>0</v>
      </c>
      <c r="L235" s="59">
        <f t="shared" si="118"/>
        <v>0</v>
      </c>
      <c r="M235" s="59">
        <f t="shared" si="118"/>
        <v>0</v>
      </c>
      <c r="N235" s="59">
        <f t="shared" si="118"/>
        <v>0</v>
      </c>
      <c r="O235" s="60" t="s">
        <v>220</v>
      </c>
      <c r="P235" s="61">
        <v>0</v>
      </c>
      <c r="S235" s="283"/>
      <c r="T235" s="283"/>
      <c r="U235" s="283"/>
      <c r="V235" s="283"/>
      <c r="W235" s="283"/>
      <c r="X235" s="283"/>
      <c r="Y235" s="283"/>
      <c r="Z235" s="283"/>
      <c r="AA235" s="283"/>
      <c r="AB235" s="283"/>
      <c r="AC235" s="283"/>
      <c r="AD235" s="283"/>
      <c r="AE235" s="283"/>
    </row>
    <row r="236" spans="2:31" x14ac:dyDescent="0.25">
      <c r="C236" s="20" t="s">
        <v>149</v>
      </c>
      <c r="S236" s="59" t="s">
        <v>204</v>
      </c>
      <c r="T236" s="59">
        <f t="shared" ref="T236:AE236" si="119">C255</f>
        <v>6555.7439999999997</v>
      </c>
      <c r="U236" s="59">
        <f t="shared" si="119"/>
        <v>6752.4163200000021</v>
      </c>
      <c r="V236" s="59">
        <f t="shared" si="119"/>
        <v>6752.4163200000021</v>
      </c>
      <c r="W236" s="59">
        <f t="shared" si="119"/>
        <v>6752.4163200000021</v>
      </c>
      <c r="X236" s="59">
        <f t="shared" si="119"/>
        <v>6752.4163200000021</v>
      </c>
      <c r="Y236" s="59">
        <f t="shared" si="119"/>
        <v>6752.4163200000021</v>
      </c>
      <c r="Z236" s="59">
        <f t="shared" si="119"/>
        <v>6752.4163200000021</v>
      </c>
      <c r="AA236" s="59">
        <f t="shared" si="119"/>
        <v>6752.4163200000021</v>
      </c>
      <c r="AB236" s="59">
        <f t="shared" si="119"/>
        <v>6752.4163200000021</v>
      </c>
      <c r="AC236" s="59">
        <f t="shared" si="119"/>
        <v>6752.4163200000021</v>
      </c>
      <c r="AD236" s="59">
        <f t="shared" si="119"/>
        <v>6752.4163200000021</v>
      </c>
      <c r="AE236" s="59">
        <f t="shared" si="119"/>
        <v>6752.4163200000021</v>
      </c>
    </row>
    <row r="237" spans="2:31" x14ac:dyDescent="0.25">
      <c r="S237" s="34" t="s">
        <v>205</v>
      </c>
      <c r="T237" s="34"/>
      <c r="U237" s="34"/>
      <c r="V237" s="34"/>
      <c r="W237" s="34"/>
      <c r="X237" s="34"/>
      <c r="Y237" s="34"/>
      <c r="Z237" s="34"/>
      <c r="AA237" s="34"/>
      <c r="AB237" s="34"/>
      <c r="AC237" s="34"/>
      <c r="AD237" s="34"/>
      <c r="AE237" s="34"/>
    </row>
    <row r="238" spans="2:31" x14ac:dyDescent="0.25">
      <c r="B238" s="288" t="s">
        <v>162</v>
      </c>
      <c r="C238" s="288"/>
      <c r="D238" s="288"/>
      <c r="E238" s="288"/>
      <c r="F238" s="288"/>
      <c r="G238" s="288"/>
      <c r="H238" s="288"/>
      <c r="I238" s="288"/>
      <c r="J238" s="288"/>
      <c r="K238" s="288"/>
      <c r="L238" s="288"/>
      <c r="M238" s="288"/>
      <c r="N238" s="288"/>
      <c r="O238" s="288"/>
      <c r="P238" s="288"/>
      <c r="S238" s="34" t="s">
        <v>206</v>
      </c>
      <c r="T238" s="34"/>
      <c r="U238" s="34"/>
      <c r="V238" s="34"/>
      <c r="W238" s="34"/>
      <c r="X238" s="34"/>
      <c r="Y238" s="34"/>
      <c r="Z238" s="34"/>
      <c r="AA238" s="34"/>
      <c r="AB238" s="34"/>
      <c r="AC238" s="34"/>
      <c r="AD238" s="34"/>
      <c r="AE238" s="34"/>
    </row>
    <row r="239" spans="2:31" x14ac:dyDescent="0.25">
      <c r="B239" s="213"/>
      <c r="C239" s="215" t="s">
        <v>50</v>
      </c>
      <c r="D239" s="215" t="s">
        <v>51</v>
      </c>
      <c r="E239" s="215" t="s">
        <v>52</v>
      </c>
      <c r="F239" s="215" t="s">
        <v>53</v>
      </c>
      <c r="G239" s="215" t="s">
        <v>54</v>
      </c>
      <c r="H239" s="215" t="s">
        <v>55</v>
      </c>
      <c r="I239" s="215" t="s">
        <v>56</v>
      </c>
      <c r="J239" s="215" t="s">
        <v>57</v>
      </c>
      <c r="K239" s="215" t="s">
        <v>58</v>
      </c>
      <c r="L239" s="215" t="s">
        <v>59</v>
      </c>
      <c r="M239" s="215" t="s">
        <v>60</v>
      </c>
      <c r="N239" s="215" t="s">
        <v>61</v>
      </c>
      <c r="O239" s="220" t="s">
        <v>62</v>
      </c>
      <c r="P239" s="221"/>
      <c r="S239" s="34" t="s">
        <v>207</v>
      </c>
      <c r="T239" s="34">
        <v>25690</v>
      </c>
      <c r="U239" s="34"/>
      <c r="V239" s="34"/>
      <c r="W239" s="34"/>
      <c r="X239" s="34"/>
      <c r="Y239" s="34"/>
      <c r="Z239" s="34"/>
      <c r="AA239" s="34"/>
      <c r="AB239" s="34"/>
      <c r="AC239" s="34"/>
      <c r="AD239" s="34"/>
      <c r="AE239" s="34"/>
    </row>
    <row r="240" spans="2:31" x14ac:dyDescent="0.25">
      <c r="B240" s="214"/>
      <c r="C240" s="216"/>
      <c r="D240" s="216"/>
      <c r="E240" s="216"/>
      <c r="F240" s="216"/>
      <c r="G240" s="216"/>
      <c r="H240" s="216"/>
      <c r="I240" s="216"/>
      <c r="J240" s="216"/>
      <c r="K240" s="216"/>
      <c r="L240" s="216"/>
      <c r="M240" s="216"/>
      <c r="N240" s="216"/>
      <c r="O240" s="58" t="s">
        <v>64</v>
      </c>
      <c r="P240" s="58" t="s">
        <v>65</v>
      </c>
      <c r="S240" s="59" t="s">
        <v>210</v>
      </c>
      <c r="T240" s="59">
        <f t="shared" ref="T240:AE240" si="120">T236+T239</f>
        <v>32245.743999999999</v>
      </c>
      <c r="U240" s="59">
        <f t="shared" si="120"/>
        <v>6752.4163200000021</v>
      </c>
      <c r="V240" s="59">
        <f t="shared" si="120"/>
        <v>6752.4163200000021</v>
      </c>
      <c r="W240" s="59">
        <f t="shared" si="120"/>
        <v>6752.4163200000021</v>
      </c>
      <c r="X240" s="59">
        <f t="shared" si="120"/>
        <v>6752.4163200000021</v>
      </c>
      <c r="Y240" s="59">
        <f t="shared" si="120"/>
        <v>6752.4163200000021</v>
      </c>
      <c r="Z240" s="59">
        <f t="shared" si="120"/>
        <v>6752.4163200000021</v>
      </c>
      <c r="AA240" s="59">
        <f t="shared" si="120"/>
        <v>6752.4163200000021</v>
      </c>
      <c r="AB240" s="59">
        <f t="shared" si="120"/>
        <v>6752.4163200000021</v>
      </c>
      <c r="AC240" s="59">
        <f t="shared" si="120"/>
        <v>6752.4163200000021</v>
      </c>
      <c r="AD240" s="59">
        <f t="shared" si="120"/>
        <v>6752.4163200000021</v>
      </c>
      <c r="AE240" s="59">
        <f t="shared" si="120"/>
        <v>6752.4163200000021</v>
      </c>
    </row>
    <row r="241" spans="2:31" x14ac:dyDescent="0.25">
      <c r="B241" s="59" t="s">
        <v>68</v>
      </c>
      <c r="C241" s="59">
        <f t="shared" ref="C241:N241" si="121">C187</f>
        <v>1125.4027200000005</v>
      </c>
      <c r="D241" s="59">
        <f t="shared" si="121"/>
        <v>1125.4027200000005</v>
      </c>
      <c r="E241" s="59">
        <f t="shared" si="121"/>
        <v>1125.4027200000005</v>
      </c>
      <c r="F241" s="59">
        <f t="shared" si="121"/>
        <v>1125.4027200000005</v>
      </c>
      <c r="G241" s="59">
        <f t="shared" si="121"/>
        <v>1125.4027200000005</v>
      </c>
      <c r="H241" s="59">
        <f t="shared" si="121"/>
        <v>1125.4027200000005</v>
      </c>
      <c r="I241" s="59">
        <f t="shared" si="121"/>
        <v>1125.4027200000005</v>
      </c>
      <c r="J241" s="59">
        <f t="shared" si="121"/>
        <v>1125.4027200000005</v>
      </c>
      <c r="K241" s="59">
        <f t="shared" si="121"/>
        <v>1125.4027200000005</v>
      </c>
      <c r="L241" s="59">
        <f t="shared" si="121"/>
        <v>1125.4027200000005</v>
      </c>
      <c r="M241" s="59">
        <f t="shared" si="121"/>
        <v>1125.4027200000005</v>
      </c>
      <c r="N241" s="59">
        <f t="shared" si="121"/>
        <v>1125.4027200000005</v>
      </c>
      <c r="O241" s="34"/>
      <c r="P241" s="34"/>
      <c r="S241" s="34" t="s">
        <v>211</v>
      </c>
      <c r="T241" s="34">
        <f t="shared" ref="T241:AE241" si="122">C265</f>
        <v>72893.805868800002</v>
      </c>
      <c r="U241" s="34">
        <f t="shared" si="122"/>
        <v>41533.587344</v>
      </c>
      <c r="V241" s="34">
        <f t="shared" si="122"/>
        <v>46013.587344</v>
      </c>
      <c r="W241" s="34">
        <f t="shared" si="122"/>
        <v>46013.587344</v>
      </c>
      <c r="X241" s="34">
        <f t="shared" si="122"/>
        <v>46013.587344</v>
      </c>
      <c r="Y241" s="34">
        <f t="shared" si="122"/>
        <v>46013.587344</v>
      </c>
      <c r="Z241" s="34">
        <f t="shared" si="122"/>
        <v>46013.587344</v>
      </c>
      <c r="AA241" s="34">
        <f t="shared" si="122"/>
        <v>46013.587344</v>
      </c>
      <c r="AB241" s="34">
        <f t="shared" si="122"/>
        <v>46013.587344</v>
      </c>
      <c r="AC241" s="34">
        <f t="shared" si="122"/>
        <v>54213.587344</v>
      </c>
      <c r="AD241" s="34">
        <f t="shared" si="122"/>
        <v>46013.587344</v>
      </c>
      <c r="AE241" s="34">
        <f t="shared" si="122"/>
        <v>46013.587344</v>
      </c>
    </row>
    <row r="242" spans="2:31" x14ac:dyDescent="0.25">
      <c r="B242" s="34" t="s">
        <v>79</v>
      </c>
      <c r="C242" s="34">
        <f t="shared" ref="C242:N242" si="123">C196</f>
        <v>382.6369248000002</v>
      </c>
      <c r="D242" s="34">
        <f t="shared" si="123"/>
        <v>382.6369248000002</v>
      </c>
      <c r="E242" s="34">
        <f t="shared" si="123"/>
        <v>382.6369248000002</v>
      </c>
      <c r="F242" s="34">
        <f t="shared" si="123"/>
        <v>382.6369248000002</v>
      </c>
      <c r="G242" s="34">
        <f t="shared" si="123"/>
        <v>382.6369248000002</v>
      </c>
      <c r="H242" s="34">
        <f t="shared" si="123"/>
        <v>382.6369248000002</v>
      </c>
      <c r="I242" s="34">
        <f t="shared" si="123"/>
        <v>382.6369248000002</v>
      </c>
      <c r="J242" s="34">
        <f t="shared" si="123"/>
        <v>382.6369248000002</v>
      </c>
      <c r="K242" s="34">
        <f t="shared" si="123"/>
        <v>382.6369248000002</v>
      </c>
      <c r="L242" s="34">
        <f t="shared" si="123"/>
        <v>382.6369248000002</v>
      </c>
      <c r="M242" s="34">
        <f t="shared" si="123"/>
        <v>382.6369248000002</v>
      </c>
      <c r="N242" s="34">
        <f t="shared" si="123"/>
        <v>382.6369248000002</v>
      </c>
      <c r="O242" s="34"/>
      <c r="P242" s="34"/>
      <c r="S242" s="34" t="s">
        <v>212</v>
      </c>
      <c r="T242" s="34">
        <f>AE148*0.07</f>
        <v>107.17000000000002</v>
      </c>
      <c r="U242" s="34">
        <f t="shared" ref="U242:AE242" si="124">T239*0.07</f>
        <v>1798.3000000000002</v>
      </c>
      <c r="V242" s="34">
        <f t="shared" si="124"/>
        <v>0</v>
      </c>
      <c r="W242" s="34">
        <f t="shared" si="124"/>
        <v>0</v>
      </c>
      <c r="X242" s="34">
        <f t="shared" si="124"/>
        <v>0</v>
      </c>
      <c r="Y242" s="34">
        <f t="shared" si="124"/>
        <v>0</v>
      </c>
      <c r="Z242" s="34">
        <f t="shared" si="124"/>
        <v>0</v>
      </c>
      <c r="AA242" s="34">
        <f t="shared" si="124"/>
        <v>0</v>
      </c>
      <c r="AB242" s="34">
        <f t="shared" si="124"/>
        <v>0</v>
      </c>
      <c r="AC242" s="34">
        <f t="shared" si="124"/>
        <v>0</v>
      </c>
      <c r="AD242" s="34">
        <f t="shared" si="124"/>
        <v>0</v>
      </c>
      <c r="AE242" s="34">
        <f t="shared" si="124"/>
        <v>0</v>
      </c>
    </row>
    <row r="243" spans="2:31" x14ac:dyDescent="0.25">
      <c r="B243" s="34" t="s">
        <v>86</v>
      </c>
      <c r="C243" s="34">
        <f t="shared" ref="C243:N243" si="125">C205</f>
        <v>1420</v>
      </c>
      <c r="D243" s="34">
        <f t="shared" si="125"/>
        <v>1420</v>
      </c>
      <c r="E243" s="34">
        <f t="shared" si="125"/>
        <v>1420</v>
      </c>
      <c r="F243" s="34">
        <f t="shared" si="125"/>
        <v>1420</v>
      </c>
      <c r="G243" s="34">
        <f t="shared" si="125"/>
        <v>1420</v>
      </c>
      <c r="H243" s="34">
        <f t="shared" si="125"/>
        <v>1420</v>
      </c>
      <c r="I243" s="34">
        <f t="shared" si="125"/>
        <v>1420</v>
      </c>
      <c r="J243" s="34">
        <f t="shared" si="125"/>
        <v>1420</v>
      </c>
      <c r="K243" s="34">
        <f t="shared" si="125"/>
        <v>1420</v>
      </c>
      <c r="L243" s="34">
        <f t="shared" si="125"/>
        <v>1420</v>
      </c>
      <c r="M243" s="34">
        <f t="shared" si="125"/>
        <v>1420</v>
      </c>
      <c r="N243" s="34">
        <f t="shared" si="125"/>
        <v>1420</v>
      </c>
      <c r="O243" s="34"/>
      <c r="P243" s="34"/>
      <c r="S243" s="59" t="s">
        <v>213</v>
      </c>
      <c r="T243" s="59">
        <f t="shared" ref="T243:AE243" si="126">T241+T242</f>
        <v>73000.9758688</v>
      </c>
      <c r="U243" s="59">
        <f t="shared" si="126"/>
        <v>43331.887344000002</v>
      </c>
      <c r="V243" s="59">
        <f t="shared" si="126"/>
        <v>46013.587344</v>
      </c>
      <c r="W243" s="59">
        <f t="shared" si="126"/>
        <v>46013.587344</v>
      </c>
      <c r="X243" s="59">
        <f t="shared" si="126"/>
        <v>46013.587344</v>
      </c>
      <c r="Y243" s="59">
        <f t="shared" si="126"/>
        <v>46013.587344</v>
      </c>
      <c r="Z243" s="59">
        <f t="shared" si="126"/>
        <v>46013.587344</v>
      </c>
      <c r="AA243" s="59">
        <f t="shared" si="126"/>
        <v>46013.587344</v>
      </c>
      <c r="AB243" s="59">
        <f t="shared" si="126"/>
        <v>46013.587344</v>
      </c>
      <c r="AC243" s="59">
        <f t="shared" si="126"/>
        <v>54213.587344</v>
      </c>
      <c r="AD243" s="59">
        <f t="shared" si="126"/>
        <v>46013.587344</v>
      </c>
      <c r="AE243" s="59">
        <f t="shared" si="126"/>
        <v>46013.587344</v>
      </c>
    </row>
    <row r="244" spans="2:31" x14ac:dyDescent="0.25">
      <c r="B244" s="59" t="s">
        <v>113</v>
      </c>
      <c r="C244" s="59">
        <f t="shared" ref="C244:N244" si="127">C233</f>
        <v>4480</v>
      </c>
      <c r="D244" s="59">
        <f t="shared" si="127"/>
        <v>0</v>
      </c>
      <c r="E244" s="59">
        <f t="shared" si="127"/>
        <v>0</v>
      </c>
      <c r="F244" s="59">
        <f t="shared" si="127"/>
        <v>0</v>
      </c>
      <c r="G244" s="59">
        <f t="shared" si="127"/>
        <v>0</v>
      </c>
      <c r="H244" s="59">
        <f t="shared" si="127"/>
        <v>0</v>
      </c>
      <c r="I244" s="59">
        <f t="shared" si="127"/>
        <v>0</v>
      </c>
      <c r="J244" s="59">
        <f t="shared" si="127"/>
        <v>0</v>
      </c>
      <c r="K244" s="59">
        <f t="shared" si="127"/>
        <v>0</v>
      </c>
      <c r="L244" s="59">
        <f t="shared" si="127"/>
        <v>0</v>
      </c>
      <c r="M244" s="59">
        <f t="shared" si="127"/>
        <v>0</v>
      </c>
      <c r="N244" s="59">
        <f t="shared" si="127"/>
        <v>0</v>
      </c>
      <c r="O244" s="34"/>
      <c r="P244" s="34"/>
      <c r="S244" s="34" t="s">
        <v>132</v>
      </c>
      <c r="T244" s="34">
        <f>AE155</f>
        <v>-965522.27048000018</v>
      </c>
      <c r="U244" s="34">
        <f t="shared" ref="U244:AE244" si="128">T246</f>
        <v>-1006277.5023488002</v>
      </c>
      <c r="V244" s="34">
        <f t="shared" si="128"/>
        <v>-1042856.9733728002</v>
      </c>
      <c r="W244" s="34">
        <f t="shared" si="128"/>
        <v>-1082118.1443968001</v>
      </c>
      <c r="X244" s="34">
        <f t="shared" si="128"/>
        <v>-1121379.3154208001</v>
      </c>
      <c r="Y244" s="34">
        <f t="shared" si="128"/>
        <v>-1160640.4864448002</v>
      </c>
      <c r="Z244" s="34">
        <f t="shared" si="128"/>
        <v>-1199901.6574688002</v>
      </c>
      <c r="AA244" s="34">
        <f t="shared" si="128"/>
        <v>-1239162.8284928002</v>
      </c>
      <c r="AB244" s="34">
        <f t="shared" si="128"/>
        <v>-1278423.9995168003</v>
      </c>
      <c r="AC244" s="34">
        <f t="shared" si="128"/>
        <v>-1317685.1705408003</v>
      </c>
      <c r="AD244" s="34">
        <f t="shared" si="128"/>
        <v>-1365146.3415648004</v>
      </c>
      <c r="AE244" s="34">
        <f t="shared" si="128"/>
        <v>-1404407.5125888004</v>
      </c>
    </row>
    <row r="245" spans="2:31" x14ac:dyDescent="0.25">
      <c r="B245" s="44" t="s">
        <v>117</v>
      </c>
      <c r="C245" s="42">
        <f t="shared" ref="C245:N245" si="129">C242+C243+C244</f>
        <v>6282.6369248000001</v>
      </c>
      <c r="D245" s="42">
        <f t="shared" si="129"/>
        <v>1802.6369248000001</v>
      </c>
      <c r="E245" s="42">
        <f t="shared" si="129"/>
        <v>1802.6369248000001</v>
      </c>
      <c r="F245" s="42">
        <f t="shared" si="129"/>
        <v>1802.6369248000001</v>
      </c>
      <c r="G245" s="42">
        <f t="shared" si="129"/>
        <v>1802.6369248000001</v>
      </c>
      <c r="H245" s="42">
        <f t="shared" si="129"/>
        <v>1802.6369248000001</v>
      </c>
      <c r="I245" s="42">
        <f t="shared" si="129"/>
        <v>1802.6369248000001</v>
      </c>
      <c r="J245" s="42">
        <f t="shared" si="129"/>
        <v>1802.6369248000001</v>
      </c>
      <c r="K245" s="42">
        <f t="shared" si="129"/>
        <v>1802.6369248000001</v>
      </c>
      <c r="L245" s="42">
        <f t="shared" si="129"/>
        <v>1802.6369248000001</v>
      </c>
      <c r="M245" s="42">
        <f t="shared" si="129"/>
        <v>1802.6369248000001</v>
      </c>
      <c r="N245" s="42">
        <f t="shared" si="129"/>
        <v>1802.6369248000001</v>
      </c>
      <c r="O245" s="34"/>
      <c r="P245" s="34"/>
      <c r="S245" s="34" t="s">
        <v>133</v>
      </c>
      <c r="T245" s="34">
        <f t="shared" ref="T245:AE245" si="130">T240-T243</f>
        <v>-40755.231868800001</v>
      </c>
      <c r="U245" s="34">
        <f t="shared" si="130"/>
        <v>-36579.471023999999</v>
      </c>
      <c r="V245" s="34">
        <f t="shared" si="130"/>
        <v>-39261.171023999996</v>
      </c>
      <c r="W245" s="34">
        <f t="shared" si="130"/>
        <v>-39261.171023999996</v>
      </c>
      <c r="X245" s="34">
        <f t="shared" si="130"/>
        <v>-39261.171023999996</v>
      </c>
      <c r="Y245" s="34">
        <f t="shared" si="130"/>
        <v>-39261.171023999996</v>
      </c>
      <c r="Z245" s="34">
        <f t="shared" si="130"/>
        <v>-39261.171023999996</v>
      </c>
      <c r="AA245" s="34">
        <f t="shared" si="130"/>
        <v>-39261.171023999996</v>
      </c>
      <c r="AB245" s="34">
        <f t="shared" si="130"/>
        <v>-39261.171023999996</v>
      </c>
      <c r="AC245" s="34">
        <f t="shared" si="130"/>
        <v>-47461.171023999996</v>
      </c>
      <c r="AD245" s="34">
        <f t="shared" si="130"/>
        <v>-39261.171023999996</v>
      </c>
      <c r="AE245" s="34">
        <f t="shared" si="130"/>
        <v>-39261.171023999996</v>
      </c>
    </row>
    <row r="246" spans="2:31" x14ac:dyDescent="0.25">
      <c r="B246" s="45" t="s">
        <v>118</v>
      </c>
      <c r="C246" s="43">
        <f t="shared" ref="C246:N246" si="131">C241-C245</f>
        <v>-5157.2342047999991</v>
      </c>
      <c r="D246" s="43">
        <f t="shared" si="131"/>
        <v>-677.23420479999959</v>
      </c>
      <c r="E246" s="43">
        <f t="shared" si="131"/>
        <v>-677.23420479999959</v>
      </c>
      <c r="F246" s="43">
        <f t="shared" si="131"/>
        <v>-677.23420479999959</v>
      </c>
      <c r="G246" s="43">
        <f t="shared" si="131"/>
        <v>-677.23420479999959</v>
      </c>
      <c r="H246" s="43">
        <f t="shared" si="131"/>
        <v>-677.23420479999959</v>
      </c>
      <c r="I246" s="43">
        <f t="shared" si="131"/>
        <v>-677.23420479999959</v>
      </c>
      <c r="J246" s="43">
        <f t="shared" si="131"/>
        <v>-677.23420479999959</v>
      </c>
      <c r="K246" s="43">
        <f t="shared" si="131"/>
        <v>-677.23420479999959</v>
      </c>
      <c r="L246" s="43">
        <f t="shared" si="131"/>
        <v>-677.23420479999959</v>
      </c>
      <c r="M246" s="43">
        <f t="shared" si="131"/>
        <v>-677.23420479999959</v>
      </c>
      <c r="N246" s="43">
        <f t="shared" si="131"/>
        <v>-677.23420479999959</v>
      </c>
      <c r="O246" s="34"/>
      <c r="P246" s="34"/>
      <c r="S246" s="34" t="s">
        <v>214</v>
      </c>
      <c r="T246" s="34">
        <f t="shared" ref="T246:AE246" si="132">T244+T245</f>
        <v>-1006277.5023488002</v>
      </c>
      <c r="U246" s="34">
        <f t="shared" si="132"/>
        <v>-1042856.9733728002</v>
      </c>
      <c r="V246" s="34">
        <f t="shared" si="132"/>
        <v>-1082118.1443968001</v>
      </c>
      <c r="W246" s="34">
        <f t="shared" si="132"/>
        <v>-1121379.3154208001</v>
      </c>
      <c r="X246" s="34">
        <f t="shared" si="132"/>
        <v>-1160640.4864448002</v>
      </c>
      <c r="Y246" s="34">
        <f t="shared" si="132"/>
        <v>-1199901.6574688002</v>
      </c>
      <c r="Z246" s="34">
        <f t="shared" si="132"/>
        <v>-1239162.8284928002</v>
      </c>
      <c r="AA246" s="34">
        <f t="shared" si="132"/>
        <v>-1278423.9995168003</v>
      </c>
      <c r="AB246" s="34">
        <f t="shared" si="132"/>
        <v>-1317685.1705408003</v>
      </c>
      <c r="AC246" s="34">
        <f t="shared" si="132"/>
        <v>-1365146.3415648004</v>
      </c>
      <c r="AD246" s="34">
        <f t="shared" si="132"/>
        <v>-1404407.5125888004</v>
      </c>
      <c r="AE246" s="34">
        <f t="shared" si="132"/>
        <v>-1443668.6836128004</v>
      </c>
    </row>
    <row r="247" spans="2:31" x14ac:dyDescent="0.25">
      <c r="B247" s="59" t="s">
        <v>81</v>
      </c>
      <c r="C247" s="59">
        <f>P156</f>
        <v>-677.01567999999997</v>
      </c>
      <c r="D247" s="59">
        <f t="shared" ref="D247:N247" si="133">C246</f>
        <v>-5157.2342047999991</v>
      </c>
      <c r="E247" s="59">
        <f t="shared" si="133"/>
        <v>-677.23420479999959</v>
      </c>
      <c r="F247" s="59">
        <f t="shared" si="133"/>
        <v>-677.23420479999959</v>
      </c>
      <c r="G247" s="59">
        <f t="shared" si="133"/>
        <v>-677.23420479999959</v>
      </c>
      <c r="H247" s="59">
        <f t="shared" si="133"/>
        <v>-677.23420479999959</v>
      </c>
      <c r="I247" s="59">
        <f t="shared" si="133"/>
        <v>-677.23420479999959</v>
      </c>
      <c r="J247" s="59">
        <f t="shared" si="133"/>
        <v>-677.23420479999959</v>
      </c>
      <c r="K247" s="59">
        <f t="shared" si="133"/>
        <v>-677.23420479999959</v>
      </c>
      <c r="L247" s="59">
        <f t="shared" si="133"/>
        <v>-677.23420479999959</v>
      </c>
      <c r="M247" s="59">
        <f t="shared" si="133"/>
        <v>-677.23420479999959</v>
      </c>
      <c r="N247" s="59">
        <f t="shared" si="133"/>
        <v>-677.23420479999959</v>
      </c>
      <c r="O247" s="60" t="s">
        <v>119</v>
      </c>
      <c r="P247" s="61">
        <f>N246</f>
        <v>-677.23420479999959</v>
      </c>
    </row>
    <row r="250" spans="2:31" x14ac:dyDescent="0.25">
      <c r="B250" s="288" t="s">
        <v>163</v>
      </c>
      <c r="C250" s="288"/>
      <c r="D250" s="288"/>
      <c r="E250" s="288"/>
      <c r="F250" s="288"/>
      <c r="G250" s="288"/>
      <c r="H250" s="288"/>
      <c r="I250" s="288"/>
      <c r="J250" s="288"/>
      <c r="K250" s="288"/>
      <c r="L250" s="288"/>
      <c r="M250" s="288"/>
      <c r="N250" s="288"/>
      <c r="O250" s="288"/>
      <c r="P250" s="288"/>
      <c r="S250" s="228" t="s">
        <v>154</v>
      </c>
      <c r="T250" s="229"/>
      <c r="V250" s="224" t="s">
        <v>157</v>
      </c>
      <c r="W250" s="224"/>
      <c r="X250" s="224"/>
      <c r="Y250" s="224"/>
      <c r="Z250" s="224"/>
      <c r="AA250" s="224"/>
    </row>
    <row r="251" spans="2:31" ht="30" x14ac:dyDescent="0.25">
      <c r="B251" s="213"/>
      <c r="C251" s="215" t="s">
        <v>50</v>
      </c>
      <c r="D251" s="215" t="s">
        <v>51</v>
      </c>
      <c r="E251" s="215" t="s">
        <v>52</v>
      </c>
      <c r="F251" s="215" t="s">
        <v>53</v>
      </c>
      <c r="G251" s="215" t="s">
        <v>54</v>
      </c>
      <c r="H251" s="215" t="s">
        <v>55</v>
      </c>
      <c r="I251" s="215" t="s">
        <v>56</v>
      </c>
      <c r="J251" s="215" t="s">
        <v>57</v>
      </c>
      <c r="K251" s="215" t="s">
        <v>58</v>
      </c>
      <c r="L251" s="215" t="s">
        <v>59</v>
      </c>
      <c r="M251" s="215" t="s">
        <v>60</v>
      </c>
      <c r="N251" s="215" t="s">
        <v>61</v>
      </c>
      <c r="O251" s="220" t="s">
        <v>62</v>
      </c>
      <c r="P251" s="221"/>
      <c r="S251" s="143" t="s">
        <v>1</v>
      </c>
      <c r="T251" s="21">
        <f>P186</f>
        <v>67524.163200000039</v>
      </c>
      <c r="V251" s="144" t="s">
        <v>2</v>
      </c>
      <c r="W251" s="145" t="s">
        <v>3</v>
      </c>
      <c r="X251" s="145" t="s">
        <v>4</v>
      </c>
      <c r="Y251" s="145" t="s">
        <v>5</v>
      </c>
      <c r="Z251" s="146" t="s">
        <v>6</v>
      </c>
      <c r="AA251" s="147" t="s">
        <v>5</v>
      </c>
      <c r="AB251" s="287"/>
      <c r="AC251" s="286"/>
      <c r="AD251" s="286"/>
      <c r="AE251" s="286"/>
    </row>
    <row r="252" spans="2:31" x14ac:dyDescent="0.25">
      <c r="B252" s="214"/>
      <c r="C252" s="216"/>
      <c r="D252" s="216"/>
      <c r="E252" s="216"/>
      <c r="F252" s="216"/>
      <c r="G252" s="216"/>
      <c r="H252" s="216"/>
      <c r="I252" s="216"/>
      <c r="J252" s="216"/>
      <c r="K252" s="216"/>
      <c r="L252" s="216"/>
      <c r="M252" s="216"/>
      <c r="N252" s="216"/>
      <c r="O252" s="58" t="s">
        <v>64</v>
      </c>
      <c r="P252" s="58" t="s">
        <v>65</v>
      </c>
      <c r="S252" s="143" t="s">
        <v>67</v>
      </c>
      <c r="T252" s="21">
        <v>0</v>
      </c>
      <c r="V252" s="148" t="s">
        <v>8</v>
      </c>
      <c r="W252" s="148">
        <f>SUM(W253:W256)</f>
        <v>275900</v>
      </c>
      <c r="X252" s="148">
        <f>SUM(X253:X254)</f>
        <v>77134.523809523802</v>
      </c>
      <c r="Y252" s="148">
        <f>SUM(Y253:Y254)</f>
        <v>198765.47619047621</v>
      </c>
      <c r="Z252" s="148" t="s">
        <v>9</v>
      </c>
      <c r="AA252" s="149">
        <f>SUM(AA253:AA256)</f>
        <v>-1384997.5568975238</v>
      </c>
      <c r="AB252" s="287"/>
      <c r="AC252" s="286"/>
      <c r="AD252" s="286"/>
      <c r="AE252" s="286"/>
    </row>
    <row r="253" spans="2:31" ht="30" x14ac:dyDescent="0.25">
      <c r="B253" s="35" t="s">
        <v>121</v>
      </c>
      <c r="C253" s="35">
        <f t="shared" ref="C253:N253" si="134">C189</f>
        <v>6555.7439999999997</v>
      </c>
      <c r="D253" s="35">
        <f t="shared" si="134"/>
        <v>6752.4163200000021</v>
      </c>
      <c r="E253" s="35">
        <f t="shared" si="134"/>
        <v>6752.4163200000021</v>
      </c>
      <c r="F253" s="35">
        <f t="shared" si="134"/>
        <v>6752.4163200000021</v>
      </c>
      <c r="G253" s="35">
        <f t="shared" si="134"/>
        <v>6752.4163200000021</v>
      </c>
      <c r="H253" s="35">
        <f t="shared" si="134"/>
        <v>6752.4163200000021</v>
      </c>
      <c r="I253" s="35">
        <f t="shared" si="134"/>
        <v>6752.4163200000021</v>
      </c>
      <c r="J253" s="43">
        <f t="shared" si="134"/>
        <v>6752.4163200000021</v>
      </c>
      <c r="K253" s="35">
        <f t="shared" si="134"/>
        <v>6752.4163200000021</v>
      </c>
      <c r="L253" s="35">
        <f t="shared" si="134"/>
        <v>6752.4163200000021</v>
      </c>
      <c r="M253" s="35">
        <f t="shared" si="134"/>
        <v>6752.4163200000021</v>
      </c>
      <c r="N253" s="35">
        <f t="shared" si="134"/>
        <v>6752.4163200000021</v>
      </c>
      <c r="O253" s="34"/>
      <c r="P253" s="34"/>
      <c r="S253" s="144" t="s">
        <v>10</v>
      </c>
      <c r="T253" s="131">
        <f>T251+T252</f>
        <v>67524.163200000039</v>
      </c>
      <c r="V253" s="150" t="s">
        <v>11</v>
      </c>
      <c r="W253" s="150">
        <f>'Bilan et CDR N+3'!G7</f>
        <v>176000</v>
      </c>
      <c r="X253" s="150">
        <f>X162+P212*0.75</f>
        <v>37025.892857142855</v>
      </c>
      <c r="Y253" s="150">
        <f>W253-X253</f>
        <v>138974.10714285716</v>
      </c>
      <c r="Z253" s="150" t="s">
        <v>12</v>
      </c>
      <c r="AA253" s="151">
        <f>AA162</f>
        <v>80000</v>
      </c>
      <c r="AB253" s="162"/>
      <c r="AC253" s="118"/>
      <c r="AD253" s="118"/>
      <c r="AE253" s="118"/>
    </row>
    <row r="254" spans="2:31" x14ac:dyDescent="0.25">
      <c r="B254" s="34" t="s">
        <v>122</v>
      </c>
      <c r="C254" s="34"/>
      <c r="D254" s="34"/>
      <c r="E254" s="34"/>
      <c r="F254" s="34"/>
      <c r="G254" s="34"/>
      <c r="H254" s="34"/>
      <c r="I254" s="34"/>
      <c r="J254" s="34"/>
      <c r="K254" s="34"/>
      <c r="L254" s="34"/>
      <c r="M254" s="34"/>
      <c r="N254" s="34"/>
      <c r="O254" s="34"/>
      <c r="P254" s="34"/>
      <c r="S254" s="143" t="s">
        <v>70</v>
      </c>
      <c r="T254" s="21">
        <f>P195</f>
        <v>22958.215488000013</v>
      </c>
      <c r="V254" s="150" t="s">
        <v>14</v>
      </c>
      <c r="W254" s="150">
        <f>'Bilan et CDR N+3'!G8</f>
        <v>99900</v>
      </c>
      <c r="X254" s="150">
        <f>X163+P212*0.25</f>
        <v>40108.630952380947</v>
      </c>
      <c r="Y254" s="150">
        <f>W254-X254</f>
        <v>59791.369047619053</v>
      </c>
      <c r="Z254" s="150" t="s">
        <v>15</v>
      </c>
      <c r="AA254" s="151">
        <v>5000</v>
      </c>
      <c r="AB254" s="152"/>
    </row>
    <row r="255" spans="2:31" x14ac:dyDescent="0.25">
      <c r="B255" s="59" t="s">
        <v>123</v>
      </c>
      <c r="C255" s="59">
        <f t="shared" ref="C255:N255" si="135">C254+C253</f>
        <v>6555.7439999999997</v>
      </c>
      <c r="D255" s="59">
        <f t="shared" si="135"/>
        <v>6752.4163200000021</v>
      </c>
      <c r="E255" s="59">
        <f t="shared" si="135"/>
        <v>6752.4163200000021</v>
      </c>
      <c r="F255" s="59">
        <f t="shared" si="135"/>
        <v>6752.4163200000021</v>
      </c>
      <c r="G255" s="59">
        <f t="shared" si="135"/>
        <v>6752.4163200000021</v>
      </c>
      <c r="H255" s="59">
        <f t="shared" si="135"/>
        <v>6752.4163200000021</v>
      </c>
      <c r="I255" s="59">
        <f t="shared" si="135"/>
        <v>6752.4163200000021</v>
      </c>
      <c r="J255" s="59">
        <f t="shared" si="135"/>
        <v>6752.4163200000021</v>
      </c>
      <c r="K255" s="59">
        <f t="shared" si="135"/>
        <v>6752.4163200000021</v>
      </c>
      <c r="L255" s="59">
        <f t="shared" si="135"/>
        <v>6752.4163200000021</v>
      </c>
      <c r="M255" s="59">
        <f t="shared" si="135"/>
        <v>6752.4163200000021</v>
      </c>
      <c r="N255" s="59">
        <f t="shared" si="135"/>
        <v>6752.4163200000021</v>
      </c>
      <c r="O255" s="34"/>
      <c r="P255" s="34"/>
      <c r="S255" s="143" t="s">
        <v>73</v>
      </c>
      <c r="T255" s="21">
        <f>P204</f>
        <v>85200</v>
      </c>
      <c r="V255" s="148"/>
      <c r="W255" s="148"/>
      <c r="X255" s="148"/>
      <c r="Y255" s="148"/>
      <c r="Z255" s="150" t="s">
        <v>17</v>
      </c>
      <c r="AA255" s="151">
        <f>AA164+AA165</f>
        <v>-973143.74889523804</v>
      </c>
      <c r="AB255" s="152"/>
    </row>
    <row r="256" spans="2:31" x14ac:dyDescent="0.25">
      <c r="B256" s="35" t="s">
        <v>124</v>
      </c>
      <c r="C256" s="35">
        <f t="shared" ref="C256:N256" si="136">C198</f>
        <v>2295.821548800001</v>
      </c>
      <c r="D256" s="35">
        <f t="shared" si="136"/>
        <v>2295.821548800001</v>
      </c>
      <c r="E256" s="35">
        <f t="shared" si="136"/>
        <v>2295.821548800001</v>
      </c>
      <c r="F256" s="35">
        <f t="shared" si="136"/>
        <v>2295.821548800001</v>
      </c>
      <c r="G256" s="35">
        <f t="shared" si="136"/>
        <v>2295.821548800001</v>
      </c>
      <c r="H256" s="35">
        <f t="shared" si="136"/>
        <v>2295.821548800001</v>
      </c>
      <c r="I256" s="35">
        <f t="shared" si="136"/>
        <v>2295.821548800001</v>
      </c>
      <c r="J256" s="35">
        <f t="shared" si="136"/>
        <v>2295.821548800001</v>
      </c>
      <c r="K256" s="35">
        <f t="shared" si="136"/>
        <v>2295.821548800001</v>
      </c>
      <c r="L256" s="35">
        <f t="shared" si="136"/>
        <v>2295.821548800001</v>
      </c>
      <c r="M256" s="35">
        <f t="shared" si="136"/>
        <v>2295.821548800001</v>
      </c>
      <c r="N256" s="35">
        <f t="shared" si="136"/>
        <v>2295.821548800001</v>
      </c>
      <c r="O256" s="34"/>
      <c r="P256" s="34"/>
      <c r="S256" s="143" t="s">
        <v>18</v>
      </c>
      <c r="T256" s="21">
        <f>P222</f>
        <v>8200</v>
      </c>
      <c r="V256" s="150"/>
      <c r="W256" s="150"/>
      <c r="X256" s="150"/>
      <c r="Y256" s="150"/>
      <c r="Z256" s="150" t="s">
        <v>19</v>
      </c>
      <c r="AA256" s="151">
        <f>T268</f>
        <v>-496853.80800228566</v>
      </c>
      <c r="AB256" s="152"/>
    </row>
    <row r="257" spans="2:31" x14ac:dyDescent="0.25">
      <c r="B257" s="35" t="s">
        <v>125</v>
      </c>
      <c r="C257" s="35"/>
      <c r="D257" s="35"/>
      <c r="E257" s="35"/>
      <c r="F257" s="35"/>
      <c r="G257" s="35"/>
      <c r="H257" s="35"/>
      <c r="I257" s="35"/>
      <c r="J257" s="35"/>
      <c r="K257" s="35"/>
      <c r="L257" s="35"/>
      <c r="M257" s="35"/>
      <c r="N257" s="35"/>
      <c r="O257" s="34"/>
      <c r="P257" s="34"/>
      <c r="S257" s="143" t="s">
        <v>20</v>
      </c>
      <c r="T257" s="21">
        <f>P214</f>
        <v>307500</v>
      </c>
      <c r="V257" s="152"/>
      <c r="W257" s="153"/>
      <c r="Y257" s="153"/>
      <c r="Z257" s="151"/>
      <c r="AA257" s="149"/>
      <c r="AB257" s="162"/>
      <c r="AC257" s="118"/>
      <c r="AD257" s="118"/>
      <c r="AE257" s="118"/>
    </row>
    <row r="258" spans="2:31" x14ac:dyDescent="0.25">
      <c r="B258" s="35" t="s">
        <v>126</v>
      </c>
      <c r="C258" s="35">
        <f t="shared" ref="C258:N258" si="137">C214</f>
        <v>25625</v>
      </c>
      <c r="D258" s="35">
        <f t="shared" si="137"/>
        <v>25625</v>
      </c>
      <c r="E258" s="35">
        <f t="shared" si="137"/>
        <v>25625</v>
      </c>
      <c r="F258" s="35">
        <f t="shared" si="137"/>
        <v>25625</v>
      </c>
      <c r="G258" s="35">
        <f t="shared" si="137"/>
        <v>25625</v>
      </c>
      <c r="H258" s="35">
        <f t="shared" si="137"/>
        <v>25625</v>
      </c>
      <c r="I258" s="35">
        <f t="shared" si="137"/>
        <v>25625</v>
      </c>
      <c r="J258" s="35">
        <f t="shared" si="137"/>
        <v>25625</v>
      </c>
      <c r="K258" s="35">
        <f t="shared" si="137"/>
        <v>25625</v>
      </c>
      <c r="L258" s="35">
        <f t="shared" si="137"/>
        <v>25625</v>
      </c>
      <c r="M258" s="35">
        <f t="shared" si="137"/>
        <v>25625</v>
      </c>
      <c r="N258" s="35">
        <f t="shared" si="137"/>
        <v>25625</v>
      </c>
      <c r="O258" s="34"/>
      <c r="P258" s="34"/>
      <c r="S258" s="143" t="s">
        <v>21</v>
      </c>
      <c r="T258" s="21">
        <f>P215</f>
        <v>123000</v>
      </c>
      <c r="V258" s="148" t="s">
        <v>22</v>
      </c>
      <c r="W258" s="148">
        <f>SUM(W259:W261)</f>
        <v>-1421916.2672928004</v>
      </c>
      <c r="X258" s="148">
        <f>SUM(X259:X261)</f>
        <v>0</v>
      </c>
      <c r="Y258" s="148">
        <f>SUM(Y259:Y261)</f>
        <v>-1421916.2672928004</v>
      </c>
      <c r="Z258" s="148" t="s">
        <v>23</v>
      </c>
      <c r="AA258" s="149">
        <f>SUM(AA259:AA262)</f>
        <v>142824.76579520002</v>
      </c>
      <c r="AB258" s="152"/>
    </row>
    <row r="259" spans="2:31" ht="30" x14ac:dyDescent="0.25">
      <c r="B259" s="35" t="s">
        <v>21</v>
      </c>
      <c r="C259" s="35">
        <f>C216</f>
        <v>10250</v>
      </c>
      <c r="D259" s="35">
        <f t="shared" ref="D259:N259" si="138">D216</f>
        <v>10250</v>
      </c>
      <c r="E259" s="35">
        <f t="shared" si="138"/>
        <v>10250</v>
      </c>
      <c r="F259" s="35">
        <f t="shared" si="138"/>
        <v>10250</v>
      </c>
      <c r="G259" s="35">
        <f t="shared" si="138"/>
        <v>10250</v>
      </c>
      <c r="H259" s="35">
        <f t="shared" si="138"/>
        <v>10250</v>
      </c>
      <c r="I259" s="35">
        <f t="shared" si="138"/>
        <v>10250</v>
      </c>
      <c r="J259" s="35">
        <f t="shared" si="138"/>
        <v>10250</v>
      </c>
      <c r="K259" s="35">
        <f t="shared" si="138"/>
        <v>10250</v>
      </c>
      <c r="L259" s="35">
        <f t="shared" si="138"/>
        <v>10250</v>
      </c>
      <c r="M259" s="35">
        <f t="shared" si="138"/>
        <v>10250</v>
      </c>
      <c r="N259" s="35">
        <f t="shared" si="138"/>
        <v>10250</v>
      </c>
      <c r="O259" s="34"/>
      <c r="P259" s="34"/>
      <c r="S259" s="143" t="s">
        <v>75</v>
      </c>
      <c r="T259" s="21">
        <f>P212</f>
        <v>15614.285714285714</v>
      </c>
      <c r="V259" s="150" t="s">
        <v>25</v>
      </c>
      <c r="W259" s="150">
        <v>15000</v>
      </c>
      <c r="X259" s="150"/>
      <c r="Y259" s="150">
        <f>W259-X259</f>
        <v>15000</v>
      </c>
      <c r="Z259" s="150" t="s">
        <v>26</v>
      </c>
      <c r="AA259" s="151">
        <f>0</f>
        <v>0</v>
      </c>
      <c r="AB259" s="152"/>
    </row>
    <row r="260" spans="2:31" x14ac:dyDescent="0.25">
      <c r="B260" s="35" t="s">
        <v>102</v>
      </c>
      <c r="C260" s="35">
        <f t="shared" ref="C260:N260" si="139">C223</f>
        <v>0</v>
      </c>
      <c r="D260" s="35">
        <f t="shared" si="139"/>
        <v>0</v>
      </c>
      <c r="E260" s="35">
        <f t="shared" si="139"/>
        <v>0</v>
      </c>
      <c r="F260" s="35">
        <f t="shared" si="139"/>
        <v>0</v>
      </c>
      <c r="G260" s="35">
        <f t="shared" si="139"/>
        <v>0</v>
      </c>
      <c r="H260" s="35">
        <f t="shared" si="139"/>
        <v>0</v>
      </c>
      <c r="I260" s="35">
        <f t="shared" si="139"/>
        <v>0</v>
      </c>
      <c r="J260" s="35">
        <f t="shared" si="139"/>
        <v>0</v>
      </c>
      <c r="K260" s="35">
        <f t="shared" si="139"/>
        <v>0</v>
      </c>
      <c r="L260" s="35">
        <f t="shared" si="139"/>
        <v>8200</v>
      </c>
      <c r="M260" s="35">
        <f t="shared" si="139"/>
        <v>0</v>
      </c>
      <c r="N260" s="35">
        <f t="shared" si="139"/>
        <v>0</v>
      </c>
      <c r="O260" s="34"/>
      <c r="P260" s="34"/>
      <c r="S260" s="144" t="s">
        <v>76</v>
      </c>
      <c r="T260" s="131">
        <f>SUM(T254:T259)</f>
        <v>562472.50120228576</v>
      </c>
      <c r="V260" s="150" t="s">
        <v>28</v>
      </c>
      <c r="W260" s="150">
        <f>P189</f>
        <v>6752.4163200000021</v>
      </c>
      <c r="X260" s="150"/>
      <c r="Y260" s="150">
        <f>W260-X260</f>
        <v>6752.4163200000021</v>
      </c>
      <c r="Z260" s="150" t="s">
        <v>29</v>
      </c>
      <c r="AA260" s="151">
        <v>0</v>
      </c>
      <c r="AB260" s="162"/>
      <c r="AC260" s="118"/>
      <c r="AD260" s="118"/>
      <c r="AE260" s="118"/>
    </row>
    <row r="261" spans="2:31" x14ac:dyDescent="0.25">
      <c r="B261" s="35" t="s">
        <v>127</v>
      </c>
      <c r="C261" s="35">
        <f t="shared" ref="C261:N261" si="140">C207</f>
        <v>8520</v>
      </c>
      <c r="D261" s="35">
        <f t="shared" si="140"/>
        <v>8520</v>
      </c>
      <c r="E261" s="35">
        <f t="shared" si="140"/>
        <v>8520</v>
      </c>
      <c r="F261" s="35">
        <f t="shared" si="140"/>
        <v>8520</v>
      </c>
      <c r="G261" s="35">
        <f t="shared" si="140"/>
        <v>8520</v>
      </c>
      <c r="H261" s="35">
        <f t="shared" si="140"/>
        <v>8520</v>
      </c>
      <c r="I261" s="35">
        <f t="shared" si="140"/>
        <v>8520</v>
      </c>
      <c r="J261" s="35">
        <f t="shared" si="140"/>
        <v>8520</v>
      </c>
      <c r="K261" s="35">
        <f t="shared" si="140"/>
        <v>8520</v>
      </c>
      <c r="L261" s="35">
        <f t="shared" si="140"/>
        <v>8520</v>
      </c>
      <c r="M261" s="35">
        <f t="shared" si="140"/>
        <v>8520</v>
      </c>
      <c r="N261" s="35">
        <f t="shared" si="140"/>
        <v>8520</v>
      </c>
      <c r="O261" s="34"/>
      <c r="P261" s="34"/>
      <c r="S261" s="154" t="s">
        <v>30</v>
      </c>
      <c r="T261" s="155">
        <f>T253-T260</f>
        <v>-494948.33800228569</v>
      </c>
      <c r="V261" s="150" t="s">
        <v>34</v>
      </c>
      <c r="W261" s="150">
        <f>AE246</f>
        <v>-1443668.6836128004</v>
      </c>
      <c r="X261" s="150"/>
      <c r="Y261" s="150">
        <f>W261-X261</f>
        <v>-1443668.6836128004</v>
      </c>
      <c r="Z261" s="150" t="s">
        <v>32</v>
      </c>
      <c r="AA261" s="151">
        <f>P247+P216</f>
        <v>9572.7657952000009</v>
      </c>
      <c r="AB261" s="152"/>
    </row>
    <row r="262" spans="2:31" x14ac:dyDescent="0.25">
      <c r="B262" s="35" t="s">
        <v>128</v>
      </c>
      <c r="C262" s="35">
        <f t="shared" ref="C262:N262" si="141">C226</f>
        <v>0</v>
      </c>
      <c r="D262" s="35">
        <f t="shared" si="141"/>
        <v>0</v>
      </c>
      <c r="E262" s="35">
        <f t="shared" si="141"/>
        <v>0</v>
      </c>
      <c r="F262" s="35">
        <f t="shared" si="141"/>
        <v>0</v>
      </c>
      <c r="G262" s="35">
        <f t="shared" si="141"/>
        <v>0</v>
      </c>
      <c r="H262" s="35">
        <f t="shared" si="141"/>
        <v>0</v>
      </c>
      <c r="I262" s="35">
        <f t="shared" si="141"/>
        <v>0</v>
      </c>
      <c r="J262" s="35">
        <f t="shared" si="141"/>
        <v>0</v>
      </c>
      <c r="K262" s="35">
        <f t="shared" si="141"/>
        <v>0</v>
      </c>
      <c r="L262" s="35">
        <f t="shared" si="141"/>
        <v>0</v>
      </c>
      <c r="M262" s="35">
        <f t="shared" si="141"/>
        <v>0</v>
      </c>
      <c r="N262" s="35">
        <f t="shared" si="141"/>
        <v>0</v>
      </c>
      <c r="O262" s="34"/>
      <c r="P262" s="34"/>
      <c r="S262" s="144" t="s">
        <v>33</v>
      </c>
      <c r="T262" s="131">
        <v>0</v>
      </c>
      <c r="V262" s="150"/>
      <c r="W262" s="150"/>
      <c r="X262" s="150"/>
      <c r="Y262" s="150"/>
      <c r="Z262" s="150" t="s">
        <v>221</v>
      </c>
      <c r="AA262" s="151">
        <f>SUM(T239:AE239)+AA171</f>
        <v>133252</v>
      </c>
      <c r="AB262" s="152"/>
    </row>
    <row r="263" spans="2:31" x14ac:dyDescent="0.25">
      <c r="B263" s="35" t="s">
        <v>129</v>
      </c>
      <c r="C263" s="35">
        <f t="shared" ref="C263:N263" si="142">C234</f>
        <v>26880</v>
      </c>
      <c r="D263" s="35">
        <f t="shared" si="142"/>
        <v>0</v>
      </c>
      <c r="E263" s="35">
        <f t="shared" si="142"/>
        <v>0</v>
      </c>
      <c r="F263" s="35">
        <f t="shared" si="142"/>
        <v>0</v>
      </c>
      <c r="G263" s="35">
        <f t="shared" si="142"/>
        <v>0</v>
      </c>
      <c r="H263" s="35">
        <f t="shared" si="142"/>
        <v>0</v>
      </c>
      <c r="I263" s="35">
        <f t="shared" si="142"/>
        <v>0</v>
      </c>
      <c r="J263" s="35">
        <f t="shared" si="142"/>
        <v>0</v>
      </c>
      <c r="K263" s="35">
        <f t="shared" si="142"/>
        <v>0</v>
      </c>
      <c r="L263" s="35">
        <f t="shared" si="142"/>
        <v>0</v>
      </c>
      <c r="M263" s="35">
        <f t="shared" si="142"/>
        <v>0</v>
      </c>
      <c r="N263" s="35">
        <f t="shared" si="142"/>
        <v>0</v>
      </c>
      <c r="O263" s="34"/>
      <c r="P263" s="34"/>
      <c r="S263" s="143" t="s">
        <v>36</v>
      </c>
      <c r="T263" s="21">
        <f>SUM(T242:AE242)</f>
        <v>1905.4700000000003</v>
      </c>
      <c r="V263" s="156" t="s">
        <v>38</v>
      </c>
      <c r="W263" s="156">
        <f>W252+W258</f>
        <v>-1146016.2672928004</v>
      </c>
      <c r="X263" s="156">
        <f>X252</f>
        <v>77134.523809523802</v>
      </c>
      <c r="Y263" s="156">
        <f>W263-X263</f>
        <v>-1223150.7911023241</v>
      </c>
      <c r="Z263" s="156" t="s">
        <v>39</v>
      </c>
      <c r="AA263" s="157">
        <f>AA252+AA258</f>
        <v>-1242172.7911023237</v>
      </c>
      <c r="AB263" s="152"/>
    </row>
    <row r="264" spans="2:31" x14ac:dyDescent="0.25">
      <c r="B264" s="35" t="s">
        <v>130</v>
      </c>
      <c r="C264" s="35">
        <f t="shared" ref="C264:N264" si="143">C247</f>
        <v>-677.01567999999997</v>
      </c>
      <c r="D264" s="35">
        <f t="shared" si="143"/>
        <v>-5157.2342047999991</v>
      </c>
      <c r="E264" s="35">
        <f t="shared" si="143"/>
        <v>-677.23420479999959</v>
      </c>
      <c r="F264" s="35">
        <f t="shared" si="143"/>
        <v>-677.23420479999959</v>
      </c>
      <c r="G264" s="35">
        <f t="shared" si="143"/>
        <v>-677.23420479999959</v>
      </c>
      <c r="H264" s="35">
        <f t="shared" si="143"/>
        <v>-677.23420479999959</v>
      </c>
      <c r="I264" s="35">
        <f t="shared" si="143"/>
        <v>-677.23420479999959</v>
      </c>
      <c r="J264" s="35">
        <f t="shared" si="143"/>
        <v>-677.23420479999959</v>
      </c>
      <c r="K264" s="35">
        <f t="shared" si="143"/>
        <v>-677.23420479999959</v>
      </c>
      <c r="L264" s="35">
        <f t="shared" si="143"/>
        <v>-677.23420479999959</v>
      </c>
      <c r="M264" s="35">
        <f t="shared" si="143"/>
        <v>-677.23420479999959</v>
      </c>
      <c r="N264" s="35">
        <f t="shared" si="143"/>
        <v>-677.23420479999959</v>
      </c>
      <c r="O264" s="34"/>
      <c r="P264" s="34"/>
      <c r="S264" s="144" t="s">
        <v>37</v>
      </c>
      <c r="T264" s="131">
        <f>T263</f>
        <v>1905.4700000000003</v>
      </c>
      <c r="Z264" s="158" t="s">
        <v>42</v>
      </c>
      <c r="AA264" s="159">
        <f>Y263-AA263</f>
        <v>19021.999999999534</v>
      </c>
    </row>
    <row r="265" spans="2:31" x14ac:dyDescent="0.25">
      <c r="B265" s="59" t="s">
        <v>131</v>
      </c>
      <c r="C265" s="59">
        <f>SUM(C256:C264)</f>
        <v>72893.805868800002</v>
      </c>
      <c r="D265" s="59">
        <f t="shared" ref="D265:N265" si="144">SUM(D256:D264)</f>
        <v>41533.587344</v>
      </c>
      <c r="E265" s="59">
        <f t="shared" si="144"/>
        <v>46013.587344</v>
      </c>
      <c r="F265" s="59">
        <f t="shared" si="144"/>
        <v>46013.587344</v>
      </c>
      <c r="G265" s="59">
        <f t="shared" si="144"/>
        <v>46013.587344</v>
      </c>
      <c r="H265" s="59">
        <f t="shared" si="144"/>
        <v>46013.587344</v>
      </c>
      <c r="I265" s="59">
        <f t="shared" si="144"/>
        <v>46013.587344</v>
      </c>
      <c r="J265" s="59">
        <f t="shared" si="144"/>
        <v>46013.587344</v>
      </c>
      <c r="K265" s="59">
        <f t="shared" si="144"/>
        <v>46013.587344</v>
      </c>
      <c r="L265" s="59">
        <f t="shared" si="144"/>
        <v>54213.587344</v>
      </c>
      <c r="M265" s="59">
        <f t="shared" si="144"/>
        <v>46013.587344</v>
      </c>
      <c r="N265" s="59">
        <f t="shared" si="144"/>
        <v>46013.587344</v>
      </c>
      <c r="O265" s="34"/>
      <c r="P265" s="34"/>
      <c r="S265" s="154" t="s">
        <v>40</v>
      </c>
      <c r="T265" s="155">
        <f>T262-T264</f>
        <v>-1905.4700000000003</v>
      </c>
    </row>
    <row r="266" spans="2:31" x14ac:dyDescent="0.25">
      <c r="B266" s="59" t="s">
        <v>132</v>
      </c>
      <c r="C266" s="59">
        <f>W170</f>
        <v>-965522.27048000018</v>
      </c>
      <c r="D266" s="59">
        <f t="shared" ref="D266:N266" si="145">C268</f>
        <v>-1031860.3323488001</v>
      </c>
      <c r="E266" s="59">
        <f t="shared" si="145"/>
        <v>-1066641.5033728001</v>
      </c>
      <c r="F266" s="59">
        <f t="shared" si="145"/>
        <v>-1105902.6743968001</v>
      </c>
      <c r="G266" s="59">
        <f t="shared" si="145"/>
        <v>-1145163.8454208001</v>
      </c>
      <c r="H266" s="59">
        <f t="shared" si="145"/>
        <v>-1184425.0164448002</v>
      </c>
      <c r="I266" s="59">
        <f t="shared" si="145"/>
        <v>-1223686.1874688002</v>
      </c>
      <c r="J266" s="59">
        <f t="shared" si="145"/>
        <v>-1262947.3584928003</v>
      </c>
      <c r="K266" s="59">
        <f t="shared" si="145"/>
        <v>-1302208.5295168003</v>
      </c>
      <c r="L266" s="59">
        <f t="shared" si="145"/>
        <v>-1341469.7005408003</v>
      </c>
      <c r="M266" s="59">
        <f t="shared" si="145"/>
        <v>-1388930.8715648004</v>
      </c>
      <c r="N266" s="59">
        <f t="shared" si="145"/>
        <v>-1428192.0425888004</v>
      </c>
      <c r="O266" s="34"/>
      <c r="P266" s="34"/>
      <c r="S266" s="154" t="s">
        <v>43</v>
      </c>
      <c r="T266" s="155">
        <f>T261-(-T265)</f>
        <v>-496853.80800228566</v>
      </c>
    </row>
    <row r="267" spans="2:31" x14ac:dyDescent="0.25">
      <c r="B267" s="34" t="s">
        <v>133</v>
      </c>
      <c r="C267" s="34">
        <f>C255-C265</f>
        <v>-66338.061868799996</v>
      </c>
      <c r="D267" s="34">
        <f t="shared" ref="D267:N267" si="146">D255-D265</f>
        <v>-34781.171023999996</v>
      </c>
      <c r="E267" s="34">
        <f t="shared" si="146"/>
        <v>-39261.171023999996</v>
      </c>
      <c r="F267" s="34">
        <f t="shared" si="146"/>
        <v>-39261.171023999996</v>
      </c>
      <c r="G267" s="34">
        <f t="shared" si="146"/>
        <v>-39261.171023999996</v>
      </c>
      <c r="H267" s="34">
        <f t="shared" si="146"/>
        <v>-39261.171023999996</v>
      </c>
      <c r="I267" s="34">
        <f t="shared" si="146"/>
        <v>-39261.171023999996</v>
      </c>
      <c r="J267" s="34">
        <f t="shared" si="146"/>
        <v>-39261.171023999996</v>
      </c>
      <c r="K267" s="34">
        <f t="shared" si="146"/>
        <v>-39261.171023999996</v>
      </c>
      <c r="L267" s="34">
        <f t="shared" si="146"/>
        <v>-47461.171023999996</v>
      </c>
      <c r="M267" s="34">
        <f t="shared" si="146"/>
        <v>-39261.171023999996</v>
      </c>
      <c r="N267" s="34">
        <f t="shared" si="146"/>
        <v>-39261.171023999996</v>
      </c>
      <c r="O267" s="34"/>
      <c r="P267" s="34"/>
      <c r="S267" s="154" t="s">
        <v>45</v>
      </c>
      <c r="T267" s="21"/>
    </row>
    <row r="268" spans="2:31" x14ac:dyDescent="0.25">
      <c r="B268" s="59" t="s">
        <v>134</v>
      </c>
      <c r="C268" s="59">
        <f t="shared" ref="C268:N268" si="147">C266+C267</f>
        <v>-1031860.3323488001</v>
      </c>
      <c r="D268" s="59">
        <f t="shared" si="147"/>
        <v>-1066641.5033728001</v>
      </c>
      <c r="E268" s="59">
        <f t="shared" si="147"/>
        <v>-1105902.6743968001</v>
      </c>
      <c r="F268" s="59">
        <f t="shared" si="147"/>
        <v>-1145163.8454208001</v>
      </c>
      <c r="G268" s="59">
        <f t="shared" si="147"/>
        <v>-1184425.0164448002</v>
      </c>
      <c r="H268" s="59">
        <f t="shared" si="147"/>
        <v>-1223686.1874688002</v>
      </c>
      <c r="I268" s="59">
        <f t="shared" si="147"/>
        <v>-1262947.3584928003</v>
      </c>
      <c r="J268" s="59">
        <f t="shared" si="147"/>
        <v>-1302208.5295168003</v>
      </c>
      <c r="K268" s="59">
        <f t="shared" si="147"/>
        <v>-1341469.7005408003</v>
      </c>
      <c r="L268" s="59">
        <f t="shared" si="147"/>
        <v>-1388930.8715648004</v>
      </c>
      <c r="M268" s="59">
        <f t="shared" si="147"/>
        <v>-1428192.0425888004</v>
      </c>
      <c r="N268" s="59">
        <f t="shared" si="147"/>
        <v>-1467453.2136128005</v>
      </c>
      <c r="O268" s="60" t="s">
        <v>135</v>
      </c>
      <c r="P268" s="61">
        <f>N268</f>
        <v>-1467453.2136128005</v>
      </c>
      <c r="S268" s="160" t="s">
        <v>47</v>
      </c>
      <c r="T268" s="161">
        <f>T266</f>
        <v>-496853.80800228566</v>
      </c>
    </row>
  </sheetData>
  <mergeCells count="371">
    <mergeCell ref="J3:J4"/>
    <mergeCell ref="K3:K4"/>
    <mergeCell ref="L3:L4"/>
    <mergeCell ref="M3:M4"/>
    <mergeCell ref="N3:N4"/>
    <mergeCell ref="O3:P3"/>
    <mergeCell ref="B1:P1"/>
    <mergeCell ref="B2:P2"/>
    <mergeCell ref="B3:B4"/>
    <mergeCell ref="C3:C4"/>
    <mergeCell ref="D3:D4"/>
    <mergeCell ref="E3:E4"/>
    <mergeCell ref="F3:F4"/>
    <mergeCell ref="G3:G4"/>
    <mergeCell ref="H3:H4"/>
    <mergeCell ref="I3:I4"/>
    <mergeCell ref="B11:P11"/>
    <mergeCell ref="B12:B13"/>
    <mergeCell ref="C12:C13"/>
    <mergeCell ref="D12:D13"/>
    <mergeCell ref="E12:E13"/>
    <mergeCell ref="F12:F13"/>
    <mergeCell ref="G12:G13"/>
    <mergeCell ref="H12:H13"/>
    <mergeCell ref="I12:I13"/>
    <mergeCell ref="J12:J13"/>
    <mergeCell ref="K12:K13"/>
    <mergeCell ref="L12:L13"/>
    <mergeCell ref="M12:M13"/>
    <mergeCell ref="N12:N13"/>
    <mergeCell ref="O12:P12"/>
    <mergeCell ref="B20:P20"/>
    <mergeCell ref="I37:I38"/>
    <mergeCell ref="J37:J38"/>
    <mergeCell ref="K37:K38"/>
    <mergeCell ref="L37:L38"/>
    <mergeCell ref="M37:M38"/>
    <mergeCell ref="N37:N38"/>
    <mergeCell ref="N21:N22"/>
    <mergeCell ref="O21:P21"/>
    <mergeCell ref="B36:P36"/>
    <mergeCell ref="B37:B38"/>
    <mergeCell ref="C37:C38"/>
    <mergeCell ref="D37:D38"/>
    <mergeCell ref="E37:E38"/>
    <mergeCell ref="G37:G38"/>
    <mergeCell ref="H37:H38"/>
    <mergeCell ref="H21:H22"/>
    <mergeCell ref="I21:I22"/>
    <mergeCell ref="J21:J22"/>
    <mergeCell ref="K21:K22"/>
    <mergeCell ref="L21:L22"/>
    <mergeCell ref="M21:M22"/>
    <mergeCell ref="D21:D22"/>
    <mergeCell ref="E21:E22"/>
    <mergeCell ref="F21:F22"/>
    <mergeCell ref="G21:G22"/>
    <mergeCell ref="B21:B22"/>
    <mergeCell ref="C21:C22"/>
    <mergeCell ref="AD46:AD47"/>
    <mergeCell ref="AE46:AE47"/>
    <mergeCell ref="B47:P47"/>
    <mergeCell ref="B48:B49"/>
    <mergeCell ref="C48:C49"/>
    <mergeCell ref="D48:D49"/>
    <mergeCell ref="E48:E49"/>
    <mergeCell ref="F48:F49"/>
    <mergeCell ref="G48:G49"/>
    <mergeCell ref="H48:H49"/>
    <mergeCell ref="X46:X47"/>
    <mergeCell ref="Y46:Y47"/>
    <mergeCell ref="Z46:Z47"/>
    <mergeCell ref="AA46:AA47"/>
    <mergeCell ref="AB46:AB47"/>
    <mergeCell ref="AC46:AC47"/>
    <mergeCell ref="S46:S47"/>
    <mergeCell ref="T46:T47"/>
    <mergeCell ref="U46:U47"/>
    <mergeCell ref="V46:V47"/>
    <mergeCell ref="W46:W47"/>
    <mergeCell ref="F37:F38"/>
    <mergeCell ref="J57:J58"/>
    <mergeCell ref="K57:K58"/>
    <mergeCell ref="L57:L58"/>
    <mergeCell ref="M57:M58"/>
    <mergeCell ref="N57:N58"/>
    <mergeCell ref="O57:P57"/>
    <mergeCell ref="O48:P48"/>
    <mergeCell ref="B56:P56"/>
    <mergeCell ref="B57:B58"/>
    <mergeCell ref="C57:C58"/>
    <mergeCell ref="D57:D58"/>
    <mergeCell ref="E57:E58"/>
    <mergeCell ref="F57:F58"/>
    <mergeCell ref="G57:G58"/>
    <mergeCell ref="H57:H58"/>
    <mergeCell ref="I57:I58"/>
    <mergeCell ref="I48:I49"/>
    <mergeCell ref="J48:J49"/>
    <mergeCell ref="K48:K49"/>
    <mergeCell ref="L48:L49"/>
    <mergeCell ref="M48:M49"/>
    <mergeCell ref="N48:N49"/>
    <mergeCell ref="O37:P37"/>
    <mergeCell ref="B68:P68"/>
    <mergeCell ref="B69:B70"/>
    <mergeCell ref="C69:C70"/>
    <mergeCell ref="D69:D70"/>
    <mergeCell ref="E69:E70"/>
    <mergeCell ref="F69:F70"/>
    <mergeCell ref="G69:G70"/>
    <mergeCell ref="H69:H70"/>
    <mergeCell ref="I69:I70"/>
    <mergeCell ref="J69:J70"/>
    <mergeCell ref="V69:AA69"/>
    <mergeCell ref="B90:P90"/>
    <mergeCell ref="B93:P93"/>
    <mergeCell ref="B94:B95"/>
    <mergeCell ref="C94:C95"/>
    <mergeCell ref="D94:D95"/>
    <mergeCell ref="E94:E95"/>
    <mergeCell ref="F94:F95"/>
    <mergeCell ref="G94:G95"/>
    <mergeCell ref="H94:H95"/>
    <mergeCell ref="K69:K70"/>
    <mergeCell ref="L69:L70"/>
    <mergeCell ref="M69:M70"/>
    <mergeCell ref="N69:N70"/>
    <mergeCell ref="O69:P69"/>
    <mergeCell ref="S69:T69"/>
    <mergeCell ref="J103:J104"/>
    <mergeCell ref="K103:K104"/>
    <mergeCell ref="L103:L104"/>
    <mergeCell ref="M103:M104"/>
    <mergeCell ref="N103:N104"/>
    <mergeCell ref="O103:P103"/>
    <mergeCell ref="O94:P94"/>
    <mergeCell ref="B102:P102"/>
    <mergeCell ref="B103:B104"/>
    <mergeCell ref="C103:C104"/>
    <mergeCell ref="D103:D104"/>
    <mergeCell ref="E103:E104"/>
    <mergeCell ref="F103:F104"/>
    <mergeCell ref="G103:G104"/>
    <mergeCell ref="H103:H104"/>
    <mergeCell ref="I103:I104"/>
    <mergeCell ref="I94:I95"/>
    <mergeCell ref="J94:J95"/>
    <mergeCell ref="K94:K95"/>
    <mergeCell ref="L94:L95"/>
    <mergeCell ref="M94:M95"/>
    <mergeCell ref="N94:N95"/>
    <mergeCell ref="K112:K113"/>
    <mergeCell ref="L112:L113"/>
    <mergeCell ref="M112:M113"/>
    <mergeCell ref="N112:N113"/>
    <mergeCell ref="O112:P112"/>
    <mergeCell ref="B128:P128"/>
    <mergeCell ref="B111:P111"/>
    <mergeCell ref="B112:B113"/>
    <mergeCell ref="C112:C113"/>
    <mergeCell ref="D112:D113"/>
    <mergeCell ref="E112:E113"/>
    <mergeCell ref="F112:F113"/>
    <mergeCell ref="G112:G113"/>
    <mergeCell ref="H112:H113"/>
    <mergeCell ref="I112:I113"/>
    <mergeCell ref="J112:J113"/>
    <mergeCell ref="N129:N130"/>
    <mergeCell ref="O129:P129"/>
    <mergeCell ref="B138:P138"/>
    <mergeCell ref="B139:B140"/>
    <mergeCell ref="C139:C140"/>
    <mergeCell ref="D139:D140"/>
    <mergeCell ref="E139:E140"/>
    <mergeCell ref="F139:F140"/>
    <mergeCell ref="G139:G140"/>
    <mergeCell ref="H139:H140"/>
    <mergeCell ref="H129:H130"/>
    <mergeCell ref="I129:I130"/>
    <mergeCell ref="J129:J130"/>
    <mergeCell ref="K129:K130"/>
    <mergeCell ref="L129:L130"/>
    <mergeCell ref="M129:M130"/>
    <mergeCell ref="B129:B130"/>
    <mergeCell ref="C129:C130"/>
    <mergeCell ref="D129:D130"/>
    <mergeCell ref="E129:E130"/>
    <mergeCell ref="F129:F130"/>
    <mergeCell ref="G129:G130"/>
    <mergeCell ref="O139:P139"/>
    <mergeCell ref="T143:T144"/>
    <mergeCell ref="U143:U144"/>
    <mergeCell ref="V143:V144"/>
    <mergeCell ref="W143:W144"/>
    <mergeCell ref="I139:I140"/>
    <mergeCell ref="J139:J140"/>
    <mergeCell ref="K139:K140"/>
    <mergeCell ref="L139:L140"/>
    <mergeCell ref="M139:M140"/>
    <mergeCell ref="N139:N140"/>
    <mergeCell ref="AD143:AD144"/>
    <mergeCell ref="AE143:AE144"/>
    <mergeCell ref="B147:P147"/>
    <mergeCell ref="B148:B149"/>
    <mergeCell ref="C148:C149"/>
    <mergeCell ref="D148:D149"/>
    <mergeCell ref="E148:E149"/>
    <mergeCell ref="F148:F149"/>
    <mergeCell ref="G148:G149"/>
    <mergeCell ref="H148:H149"/>
    <mergeCell ref="X143:X144"/>
    <mergeCell ref="Y143:Y144"/>
    <mergeCell ref="Z143:Z144"/>
    <mergeCell ref="AA143:AA144"/>
    <mergeCell ref="AB143:AB144"/>
    <mergeCell ref="AC143:AC144"/>
    <mergeCell ref="O148:P148"/>
    <mergeCell ref="I148:I149"/>
    <mergeCell ref="J148:J149"/>
    <mergeCell ref="K148:K149"/>
    <mergeCell ref="L148:L149"/>
    <mergeCell ref="M148:M149"/>
    <mergeCell ref="N148:N149"/>
    <mergeCell ref="S143:S144"/>
    <mergeCell ref="B159:P159"/>
    <mergeCell ref="S159:T159"/>
    <mergeCell ref="V159:AA159"/>
    <mergeCell ref="B160:B161"/>
    <mergeCell ref="C160:C161"/>
    <mergeCell ref="D160:D161"/>
    <mergeCell ref="E160:E161"/>
    <mergeCell ref="F160:F161"/>
    <mergeCell ref="G160:G161"/>
    <mergeCell ref="N160:N161"/>
    <mergeCell ref="O160:P160"/>
    <mergeCell ref="AB160:AB161"/>
    <mergeCell ref="AC160:AC161"/>
    <mergeCell ref="AD160:AD161"/>
    <mergeCell ref="AE160:AE161"/>
    <mergeCell ref="H160:H161"/>
    <mergeCell ref="I160:I161"/>
    <mergeCell ref="J160:J161"/>
    <mergeCell ref="K160:K161"/>
    <mergeCell ref="L160:L161"/>
    <mergeCell ref="M160:M161"/>
    <mergeCell ref="J184:J185"/>
    <mergeCell ref="K184:K185"/>
    <mergeCell ref="L184:L185"/>
    <mergeCell ref="M184:M185"/>
    <mergeCell ref="N184:N185"/>
    <mergeCell ref="O184:P184"/>
    <mergeCell ref="B180:P180"/>
    <mergeCell ref="B183:P183"/>
    <mergeCell ref="B184:B185"/>
    <mergeCell ref="C184:C185"/>
    <mergeCell ref="D184:D185"/>
    <mergeCell ref="E184:E185"/>
    <mergeCell ref="F184:F185"/>
    <mergeCell ref="G184:G185"/>
    <mergeCell ref="H184:H185"/>
    <mergeCell ref="I184:I185"/>
    <mergeCell ref="K193:K194"/>
    <mergeCell ref="L193:L194"/>
    <mergeCell ref="M193:M194"/>
    <mergeCell ref="N193:N194"/>
    <mergeCell ref="O193:P193"/>
    <mergeCell ref="B201:P201"/>
    <mergeCell ref="B192:P192"/>
    <mergeCell ref="B193:B194"/>
    <mergeCell ref="C193:C194"/>
    <mergeCell ref="D193:D194"/>
    <mergeCell ref="E193:E194"/>
    <mergeCell ref="F193:F194"/>
    <mergeCell ref="G193:G194"/>
    <mergeCell ref="H193:H194"/>
    <mergeCell ref="I193:I194"/>
    <mergeCell ref="J193:J194"/>
    <mergeCell ref="N202:N203"/>
    <mergeCell ref="O202:P202"/>
    <mergeCell ref="B219:P219"/>
    <mergeCell ref="B220:B221"/>
    <mergeCell ref="C220:C221"/>
    <mergeCell ref="D220:D221"/>
    <mergeCell ref="E220:E221"/>
    <mergeCell ref="F220:F221"/>
    <mergeCell ref="G220:G221"/>
    <mergeCell ref="H220:H221"/>
    <mergeCell ref="H202:H203"/>
    <mergeCell ref="I202:I203"/>
    <mergeCell ref="J202:J203"/>
    <mergeCell ref="K202:K203"/>
    <mergeCell ref="L202:L203"/>
    <mergeCell ref="M202:M203"/>
    <mergeCell ref="B202:B203"/>
    <mergeCell ref="C202:C203"/>
    <mergeCell ref="D202:D203"/>
    <mergeCell ref="E202:E203"/>
    <mergeCell ref="F202:F203"/>
    <mergeCell ref="G202:G203"/>
    <mergeCell ref="O220:P220"/>
    <mergeCell ref="I220:I221"/>
    <mergeCell ref="J220:J221"/>
    <mergeCell ref="K220:K221"/>
    <mergeCell ref="L220:L221"/>
    <mergeCell ref="M220:M221"/>
    <mergeCell ref="N220:N221"/>
    <mergeCell ref="U234:U235"/>
    <mergeCell ref="V234:V235"/>
    <mergeCell ref="W234:W235"/>
    <mergeCell ref="X234:X235"/>
    <mergeCell ref="J230:J231"/>
    <mergeCell ref="K230:K231"/>
    <mergeCell ref="L230:L231"/>
    <mergeCell ref="M230:M231"/>
    <mergeCell ref="N230:N231"/>
    <mergeCell ref="O230:P230"/>
    <mergeCell ref="B229:P229"/>
    <mergeCell ref="B230:B231"/>
    <mergeCell ref="C230:C231"/>
    <mergeCell ref="D230:D231"/>
    <mergeCell ref="E230:E231"/>
    <mergeCell ref="F230:F231"/>
    <mergeCell ref="G230:G231"/>
    <mergeCell ref="H230:H231"/>
    <mergeCell ref="I230:I231"/>
    <mergeCell ref="J239:J240"/>
    <mergeCell ref="K239:K240"/>
    <mergeCell ref="L239:L240"/>
    <mergeCell ref="M239:M240"/>
    <mergeCell ref="N239:N240"/>
    <mergeCell ref="O239:P239"/>
    <mergeCell ref="AE234:AE235"/>
    <mergeCell ref="B238:P238"/>
    <mergeCell ref="B239:B240"/>
    <mergeCell ref="C239:C240"/>
    <mergeCell ref="D239:D240"/>
    <mergeCell ref="E239:E240"/>
    <mergeCell ref="F239:F240"/>
    <mergeCell ref="G239:G240"/>
    <mergeCell ref="H239:H240"/>
    <mergeCell ref="I239:I240"/>
    <mergeCell ref="Y234:Y235"/>
    <mergeCell ref="Z234:Z235"/>
    <mergeCell ref="AA234:AA235"/>
    <mergeCell ref="AB234:AB235"/>
    <mergeCell ref="AC234:AC235"/>
    <mergeCell ref="AD234:AD235"/>
    <mergeCell ref="S234:S235"/>
    <mergeCell ref="T234:T235"/>
    <mergeCell ref="B250:P250"/>
    <mergeCell ref="S250:T250"/>
    <mergeCell ref="V250:AA250"/>
    <mergeCell ref="B251:B252"/>
    <mergeCell ref="C251:C252"/>
    <mergeCell ref="D251:D252"/>
    <mergeCell ref="E251:E252"/>
    <mergeCell ref="F251:F252"/>
    <mergeCell ref="G251:G252"/>
    <mergeCell ref="H251:H252"/>
    <mergeCell ref="O251:P251"/>
    <mergeCell ref="AB251:AB252"/>
    <mergeCell ref="AC251:AC252"/>
    <mergeCell ref="AD251:AD252"/>
    <mergeCell ref="AE251:AE252"/>
    <mergeCell ref="I251:I252"/>
    <mergeCell ref="J251:J252"/>
    <mergeCell ref="K251:K252"/>
    <mergeCell ref="L251:L252"/>
    <mergeCell ref="M251:M252"/>
    <mergeCell ref="N251:N252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249E83-B017-4F65-987C-98FBC46E9B62}">
  <sheetPr codeName="Feuil13">
    <tabColor theme="5" tint="0.39997558519241921"/>
  </sheetPr>
  <dimension ref="B1:AE277"/>
  <sheetViews>
    <sheetView showGridLines="0" topLeftCell="A190" zoomScale="51" zoomScaleNormal="46" workbookViewId="0">
      <selection activeCell="AF153" sqref="AF153"/>
    </sheetView>
  </sheetViews>
  <sheetFormatPr baseColWidth="10" defaultColWidth="10.7109375" defaultRowHeight="15" x14ac:dyDescent="0.25"/>
  <cols>
    <col min="1" max="1" width="10.7109375" style="20"/>
    <col min="2" max="2" width="34.85546875" style="20" customWidth="1"/>
    <col min="3" max="3" width="13.7109375" style="20" customWidth="1"/>
    <col min="4" max="4" width="13.42578125" style="20" customWidth="1"/>
    <col min="5" max="5" width="15.5703125" style="20" customWidth="1"/>
    <col min="6" max="6" width="13.85546875" style="20" customWidth="1"/>
    <col min="7" max="7" width="13.140625" style="20" customWidth="1"/>
    <col min="8" max="8" width="12.85546875" style="20" customWidth="1"/>
    <col min="9" max="9" width="17.28515625" style="20" customWidth="1"/>
    <col min="10" max="11" width="13.7109375" style="20" customWidth="1"/>
    <col min="12" max="12" width="15.85546875" style="20" customWidth="1"/>
    <col min="13" max="13" width="13.28515625" style="20" customWidth="1"/>
    <col min="14" max="14" width="14.85546875" style="20" customWidth="1"/>
    <col min="15" max="15" width="29.5703125" style="20" bestFit="1" customWidth="1"/>
    <col min="16" max="16" width="14.85546875" style="20" customWidth="1"/>
    <col min="17" max="18" width="9.140625" style="20" bestFit="1" customWidth="1"/>
    <col min="19" max="19" width="36.42578125" style="20" customWidth="1"/>
    <col min="20" max="20" width="15.7109375" style="20" customWidth="1"/>
    <col min="21" max="21" width="11.42578125" style="20" customWidth="1"/>
    <col min="22" max="22" width="36.85546875" style="20" customWidth="1"/>
    <col min="23" max="23" width="9.140625" style="20" customWidth="1"/>
    <col min="24" max="24" width="11.85546875" style="20" bestFit="1" customWidth="1"/>
    <col min="25" max="25" width="19.5703125" style="20" customWidth="1"/>
    <col min="26" max="26" width="40.28515625" style="20" bestFit="1" customWidth="1"/>
    <col min="27" max="27" width="18.85546875" style="20" customWidth="1"/>
    <col min="28" max="29" width="10.7109375" style="20"/>
    <col min="30" max="30" width="24.7109375" style="20" customWidth="1"/>
    <col min="31" max="31" width="15.5703125" style="20" customWidth="1"/>
    <col min="32" max="32" width="10.7109375" style="20"/>
    <col min="33" max="33" width="20.42578125" style="20" customWidth="1"/>
    <col min="34" max="36" width="10.7109375" style="20"/>
    <col min="37" max="37" width="18.85546875" style="20" customWidth="1"/>
    <col min="38" max="38" width="23.5703125" style="20" customWidth="1"/>
    <col min="39" max="16384" width="10.7109375" style="20"/>
  </cols>
  <sheetData>
    <row r="1" spans="2:16" ht="28.5" x14ac:dyDescent="0.45">
      <c r="B1" s="212" t="s">
        <v>48</v>
      </c>
      <c r="C1" s="212"/>
      <c r="D1" s="212"/>
      <c r="E1" s="212"/>
      <c r="F1" s="212"/>
      <c r="G1" s="212"/>
      <c r="H1" s="212"/>
      <c r="I1" s="212"/>
      <c r="J1" s="212"/>
      <c r="K1" s="212"/>
      <c r="L1" s="212"/>
      <c r="M1" s="212"/>
      <c r="N1" s="212"/>
      <c r="O1" s="212"/>
      <c r="P1" s="212"/>
    </row>
    <row r="2" spans="2:16" x14ac:dyDescent="0.25">
      <c r="B2" s="288" t="s">
        <v>49</v>
      </c>
      <c r="C2" s="288"/>
      <c r="D2" s="288"/>
      <c r="E2" s="288"/>
      <c r="F2" s="288"/>
      <c r="G2" s="288"/>
      <c r="H2" s="288"/>
      <c r="I2" s="288"/>
      <c r="J2" s="288"/>
      <c r="K2" s="288"/>
      <c r="L2" s="288"/>
      <c r="M2" s="288"/>
      <c r="N2" s="288"/>
      <c r="O2" s="288"/>
      <c r="P2" s="288"/>
    </row>
    <row r="3" spans="2:16" ht="14.25" customHeight="1" x14ac:dyDescent="0.25">
      <c r="B3" s="213"/>
      <c r="C3" s="215" t="s">
        <v>50</v>
      </c>
      <c r="D3" s="215" t="s">
        <v>51</v>
      </c>
      <c r="E3" s="215" t="s">
        <v>52</v>
      </c>
      <c r="F3" s="215" t="s">
        <v>53</v>
      </c>
      <c r="G3" s="215" t="s">
        <v>54</v>
      </c>
      <c r="H3" s="215" t="s">
        <v>55</v>
      </c>
      <c r="I3" s="215" t="s">
        <v>56</v>
      </c>
      <c r="J3" s="215" t="s">
        <v>57</v>
      </c>
      <c r="K3" s="215" t="s">
        <v>58</v>
      </c>
      <c r="L3" s="215" t="s">
        <v>59</v>
      </c>
      <c r="M3" s="215" t="s">
        <v>60</v>
      </c>
      <c r="N3" s="215" t="s">
        <v>61</v>
      </c>
      <c r="O3" s="220" t="s">
        <v>62</v>
      </c>
      <c r="P3" s="221"/>
    </row>
    <row r="4" spans="2:16" ht="14.25" customHeight="1" x14ac:dyDescent="0.25">
      <c r="B4" s="214"/>
      <c r="C4" s="216"/>
      <c r="D4" s="216"/>
      <c r="E4" s="216"/>
      <c r="F4" s="216"/>
      <c r="G4" s="216"/>
      <c r="H4" s="216"/>
      <c r="I4" s="216"/>
      <c r="J4" s="216"/>
      <c r="K4" s="216"/>
      <c r="L4" s="216"/>
      <c r="M4" s="216"/>
      <c r="N4" s="216"/>
      <c r="O4" s="58" t="s">
        <v>64</v>
      </c>
      <c r="P4" s="58" t="s">
        <v>65</v>
      </c>
    </row>
    <row r="5" spans="2:16" x14ac:dyDescent="0.25">
      <c r="B5" s="35" t="s">
        <v>66</v>
      </c>
      <c r="C5" s="35">
        <f>'Bilan et CDR N'!$C$5*1.02/12</f>
        <v>5304</v>
      </c>
      <c r="D5" s="35">
        <f>'Bilan et CDR N'!$C$5*1.02/12</f>
        <v>5304</v>
      </c>
      <c r="E5" s="35">
        <f>'Bilan et CDR N'!$C$5*1.02/12</f>
        <v>5304</v>
      </c>
      <c r="F5" s="35">
        <f>'Bilan et CDR N'!$C$5*1.02/12</f>
        <v>5304</v>
      </c>
      <c r="G5" s="35">
        <f>'Bilan et CDR N'!$C$5*1.02/12</f>
        <v>5304</v>
      </c>
      <c r="H5" s="35">
        <f>'Bilan et CDR N'!$C$5*1.02/12</f>
        <v>5304</v>
      </c>
      <c r="I5" s="35">
        <f>'Bilan et CDR N'!$C$5*1.02/12</f>
        <v>5304</v>
      </c>
      <c r="J5" s="35">
        <f>'Bilan et CDR N'!$C$5*1.02/12</f>
        <v>5304</v>
      </c>
      <c r="K5" s="35">
        <f>'Bilan et CDR N'!$C$5*1.02/12</f>
        <v>5304</v>
      </c>
      <c r="L5" s="35">
        <f>'Bilan et CDR N'!$C$5*1.02/12</f>
        <v>5304</v>
      </c>
      <c r="M5" s="35">
        <f>'Bilan et CDR N'!$C$5*1.02/12</f>
        <v>5304</v>
      </c>
      <c r="N5" s="35">
        <f>'Bilan et CDR N'!$C$5*1.02/12</f>
        <v>5304</v>
      </c>
      <c r="O5" s="60" t="s">
        <v>1</v>
      </c>
      <c r="P5" s="61">
        <f>SUM(C5:N5)</f>
        <v>63648</v>
      </c>
    </row>
    <row r="6" spans="2:16" ht="14.25" customHeight="1" x14ac:dyDescent="0.25">
      <c r="B6" s="34" t="s">
        <v>68</v>
      </c>
      <c r="C6" s="34">
        <f t="shared" ref="C6:N6" si="0">C5*20%</f>
        <v>1060.8</v>
      </c>
      <c r="D6" s="34">
        <f t="shared" si="0"/>
        <v>1060.8</v>
      </c>
      <c r="E6" s="34">
        <f t="shared" si="0"/>
        <v>1060.8</v>
      </c>
      <c r="F6" s="34">
        <f t="shared" si="0"/>
        <v>1060.8</v>
      </c>
      <c r="G6" s="34">
        <f t="shared" si="0"/>
        <v>1060.8</v>
      </c>
      <c r="H6" s="34">
        <f t="shared" si="0"/>
        <v>1060.8</v>
      </c>
      <c r="I6" s="34">
        <f t="shared" si="0"/>
        <v>1060.8</v>
      </c>
      <c r="J6" s="34">
        <f t="shared" si="0"/>
        <v>1060.8</v>
      </c>
      <c r="K6" s="34">
        <f t="shared" si="0"/>
        <v>1060.8</v>
      </c>
      <c r="L6" s="34">
        <f t="shared" si="0"/>
        <v>1060.8</v>
      </c>
      <c r="M6" s="34">
        <f t="shared" si="0"/>
        <v>1060.8</v>
      </c>
      <c r="N6" s="34">
        <f t="shared" si="0"/>
        <v>1060.8</v>
      </c>
      <c r="O6" s="34"/>
      <c r="P6" s="34"/>
    </row>
    <row r="7" spans="2:16" ht="14.25" customHeight="1" x14ac:dyDescent="0.25">
      <c r="B7" s="34" t="s">
        <v>69</v>
      </c>
      <c r="C7" s="34">
        <f t="shared" ref="C7:N7" si="1">C5+C6</f>
        <v>6364.8</v>
      </c>
      <c r="D7" s="34">
        <f t="shared" si="1"/>
        <v>6364.8</v>
      </c>
      <c r="E7" s="34">
        <f t="shared" si="1"/>
        <v>6364.8</v>
      </c>
      <c r="F7" s="34">
        <f t="shared" si="1"/>
        <v>6364.8</v>
      </c>
      <c r="G7" s="34">
        <f t="shared" si="1"/>
        <v>6364.8</v>
      </c>
      <c r="H7" s="34">
        <f t="shared" si="1"/>
        <v>6364.8</v>
      </c>
      <c r="I7" s="34">
        <f t="shared" si="1"/>
        <v>6364.8</v>
      </c>
      <c r="J7" s="34">
        <f t="shared" si="1"/>
        <v>6364.8</v>
      </c>
      <c r="K7" s="34">
        <f t="shared" si="1"/>
        <v>6364.8</v>
      </c>
      <c r="L7" s="34">
        <f t="shared" si="1"/>
        <v>6364.8</v>
      </c>
      <c r="M7" s="34">
        <f t="shared" si="1"/>
        <v>6364.8</v>
      </c>
      <c r="N7" s="34">
        <f t="shared" si="1"/>
        <v>6364.8</v>
      </c>
      <c r="O7" s="34"/>
      <c r="P7" s="34"/>
    </row>
    <row r="8" spans="2:16" x14ac:dyDescent="0.25">
      <c r="B8" s="81" t="s">
        <v>139</v>
      </c>
      <c r="C8" s="81">
        <f>'Bilan et CDR N'!I14</f>
        <v>78000</v>
      </c>
      <c r="D8" s="81">
        <f>C7</f>
        <v>6364.8</v>
      </c>
      <c r="E8" s="81">
        <f t="shared" ref="E8:N8" si="2">D7</f>
        <v>6364.8</v>
      </c>
      <c r="F8" s="81">
        <f t="shared" si="2"/>
        <v>6364.8</v>
      </c>
      <c r="G8" s="81">
        <f t="shared" si="2"/>
        <v>6364.8</v>
      </c>
      <c r="H8" s="81">
        <f t="shared" si="2"/>
        <v>6364.8</v>
      </c>
      <c r="I8" s="81">
        <f t="shared" si="2"/>
        <v>6364.8</v>
      </c>
      <c r="J8" s="81">
        <f t="shared" si="2"/>
        <v>6364.8</v>
      </c>
      <c r="K8" s="81">
        <f t="shared" si="2"/>
        <v>6364.8</v>
      </c>
      <c r="L8" s="81">
        <f t="shared" si="2"/>
        <v>6364.8</v>
      </c>
      <c r="M8" s="81">
        <f t="shared" si="2"/>
        <v>6364.8</v>
      </c>
      <c r="N8" s="81">
        <f t="shared" si="2"/>
        <v>6364.8</v>
      </c>
      <c r="O8" s="82" t="s">
        <v>72</v>
      </c>
      <c r="P8" s="83">
        <f>N7</f>
        <v>6364.8</v>
      </c>
    </row>
    <row r="9" spans="2:16" x14ac:dyDescent="0.25">
      <c r="B9" s="34" t="s">
        <v>208</v>
      </c>
      <c r="C9" s="34"/>
      <c r="D9" s="34"/>
      <c r="E9" s="34">
        <v>30000</v>
      </c>
      <c r="F9" s="34"/>
      <c r="G9" s="34"/>
      <c r="H9" s="34"/>
      <c r="I9" s="34"/>
      <c r="J9" s="34"/>
      <c r="K9" s="34"/>
      <c r="L9" s="34"/>
      <c r="M9" s="34"/>
      <c r="N9" s="34"/>
      <c r="O9" s="61" t="s">
        <v>209</v>
      </c>
      <c r="P9" s="61">
        <v>30000</v>
      </c>
    </row>
    <row r="11" spans="2:16" ht="14.25" customHeight="1" x14ac:dyDescent="0.25">
      <c r="B11" s="288" t="s">
        <v>74</v>
      </c>
      <c r="C11" s="288"/>
      <c r="D11" s="288"/>
      <c r="E11" s="288"/>
      <c r="F11" s="288"/>
      <c r="G11" s="288"/>
      <c r="H11" s="288"/>
      <c r="I11" s="288"/>
      <c r="J11" s="288"/>
      <c r="K11" s="288"/>
      <c r="L11" s="288"/>
      <c r="M11" s="288"/>
      <c r="N11" s="288"/>
      <c r="O11" s="288"/>
      <c r="P11" s="288"/>
    </row>
    <row r="12" spans="2:16" x14ac:dyDescent="0.25">
      <c r="B12" s="213"/>
      <c r="C12" s="215" t="s">
        <v>50</v>
      </c>
      <c r="D12" s="215" t="s">
        <v>51</v>
      </c>
      <c r="E12" s="215" t="s">
        <v>52</v>
      </c>
      <c r="F12" s="215" t="s">
        <v>53</v>
      </c>
      <c r="G12" s="215" t="s">
        <v>54</v>
      </c>
      <c r="H12" s="215" t="s">
        <v>55</v>
      </c>
      <c r="I12" s="215" t="s">
        <v>56</v>
      </c>
      <c r="J12" s="215" t="s">
        <v>57</v>
      </c>
      <c r="K12" s="215" t="s">
        <v>58</v>
      </c>
      <c r="L12" s="215" t="s">
        <v>59</v>
      </c>
      <c r="M12" s="215" t="s">
        <v>60</v>
      </c>
      <c r="N12" s="215" t="s">
        <v>61</v>
      </c>
      <c r="O12" s="220" t="s">
        <v>62</v>
      </c>
      <c r="P12" s="221"/>
    </row>
    <row r="13" spans="2:16" ht="14.25" customHeight="1" x14ac:dyDescent="0.25">
      <c r="B13" s="214"/>
      <c r="C13" s="216"/>
      <c r="D13" s="216"/>
      <c r="E13" s="216"/>
      <c r="F13" s="216"/>
      <c r="G13" s="216"/>
      <c r="H13" s="216"/>
      <c r="I13" s="216"/>
      <c r="J13" s="216"/>
      <c r="K13" s="216"/>
      <c r="L13" s="216"/>
      <c r="M13" s="216"/>
      <c r="N13" s="216"/>
      <c r="O13" s="58" t="s">
        <v>64</v>
      </c>
      <c r="P13" s="58" t="s">
        <v>65</v>
      </c>
    </row>
    <row r="14" spans="2:16" x14ac:dyDescent="0.25">
      <c r="B14" s="35" t="s">
        <v>77</v>
      </c>
      <c r="C14" s="35">
        <f t="shared" ref="C14:N14" si="3">C5*30%</f>
        <v>1591.2</v>
      </c>
      <c r="D14" s="35">
        <f t="shared" si="3"/>
        <v>1591.2</v>
      </c>
      <c r="E14" s="35">
        <f t="shared" si="3"/>
        <v>1591.2</v>
      </c>
      <c r="F14" s="35">
        <f t="shared" si="3"/>
        <v>1591.2</v>
      </c>
      <c r="G14" s="35">
        <f t="shared" si="3"/>
        <v>1591.2</v>
      </c>
      <c r="H14" s="35">
        <f t="shared" si="3"/>
        <v>1591.2</v>
      </c>
      <c r="I14" s="35">
        <f t="shared" si="3"/>
        <v>1591.2</v>
      </c>
      <c r="J14" s="35">
        <f t="shared" si="3"/>
        <v>1591.2</v>
      </c>
      <c r="K14" s="35">
        <f t="shared" si="3"/>
        <v>1591.2</v>
      </c>
      <c r="L14" s="35">
        <f t="shared" si="3"/>
        <v>1591.2</v>
      </c>
      <c r="M14" s="35">
        <f t="shared" si="3"/>
        <v>1591.2</v>
      </c>
      <c r="N14" s="35">
        <f t="shared" si="3"/>
        <v>1591.2</v>
      </c>
      <c r="O14" s="60" t="s">
        <v>78</v>
      </c>
      <c r="P14" s="61">
        <f>SUM(C14:N14)</f>
        <v>19094.400000000005</v>
      </c>
    </row>
    <row r="15" spans="2:16" ht="14.25" customHeight="1" x14ac:dyDescent="0.25">
      <c r="B15" s="34" t="s">
        <v>79</v>
      </c>
      <c r="C15" s="34">
        <f t="shared" ref="C15:N15" si="4">C14*20%</f>
        <v>318.24</v>
      </c>
      <c r="D15" s="34">
        <f t="shared" si="4"/>
        <v>318.24</v>
      </c>
      <c r="E15" s="34">
        <f t="shared" si="4"/>
        <v>318.24</v>
      </c>
      <c r="F15" s="34">
        <f t="shared" si="4"/>
        <v>318.24</v>
      </c>
      <c r="G15" s="34">
        <f t="shared" si="4"/>
        <v>318.24</v>
      </c>
      <c r="H15" s="34">
        <f t="shared" si="4"/>
        <v>318.24</v>
      </c>
      <c r="I15" s="34">
        <f t="shared" si="4"/>
        <v>318.24</v>
      </c>
      <c r="J15" s="34">
        <f t="shared" si="4"/>
        <v>318.24</v>
      </c>
      <c r="K15" s="34">
        <f t="shared" si="4"/>
        <v>318.24</v>
      </c>
      <c r="L15" s="34">
        <f t="shared" si="4"/>
        <v>318.24</v>
      </c>
      <c r="M15" s="34">
        <f t="shared" si="4"/>
        <v>318.24</v>
      </c>
      <c r="N15" s="34">
        <f t="shared" si="4"/>
        <v>318.24</v>
      </c>
      <c r="O15" s="34"/>
      <c r="P15" s="34"/>
    </row>
    <row r="16" spans="2:16" x14ac:dyDescent="0.25">
      <c r="B16" s="34" t="s">
        <v>80</v>
      </c>
      <c r="C16" s="34">
        <f t="shared" ref="C16:N16" si="5">C14+C15</f>
        <v>1909.44</v>
      </c>
      <c r="D16" s="34">
        <f t="shared" si="5"/>
        <v>1909.44</v>
      </c>
      <c r="E16" s="34">
        <f t="shared" si="5"/>
        <v>1909.44</v>
      </c>
      <c r="F16" s="34">
        <f t="shared" si="5"/>
        <v>1909.44</v>
      </c>
      <c r="G16" s="34">
        <f t="shared" si="5"/>
        <v>1909.44</v>
      </c>
      <c r="H16" s="34">
        <f t="shared" si="5"/>
        <v>1909.44</v>
      </c>
      <c r="I16" s="34">
        <f t="shared" si="5"/>
        <v>1909.44</v>
      </c>
      <c r="J16" s="34">
        <f t="shared" si="5"/>
        <v>1909.44</v>
      </c>
      <c r="K16" s="34">
        <f t="shared" si="5"/>
        <v>1909.44</v>
      </c>
      <c r="L16" s="34">
        <f t="shared" si="5"/>
        <v>1909.44</v>
      </c>
      <c r="M16" s="34">
        <f t="shared" si="5"/>
        <v>1909.44</v>
      </c>
      <c r="N16" s="34">
        <f t="shared" si="5"/>
        <v>1909.44</v>
      </c>
      <c r="O16" s="34"/>
      <c r="P16" s="34"/>
    </row>
    <row r="17" spans="2:16" x14ac:dyDescent="0.25">
      <c r="B17" s="59" t="s">
        <v>81</v>
      </c>
      <c r="C17" s="59">
        <f>C16+'Bilan et CDR N'!K14</f>
        <v>25409.439999999999</v>
      </c>
      <c r="D17" s="59">
        <f t="shared" ref="D17:N17" si="6">D16</f>
        <v>1909.44</v>
      </c>
      <c r="E17" s="59">
        <f t="shared" si="6"/>
        <v>1909.44</v>
      </c>
      <c r="F17" s="59">
        <f t="shared" si="6"/>
        <v>1909.44</v>
      </c>
      <c r="G17" s="59">
        <f t="shared" si="6"/>
        <v>1909.44</v>
      </c>
      <c r="H17" s="59">
        <f t="shared" si="6"/>
        <v>1909.44</v>
      </c>
      <c r="I17" s="59">
        <f t="shared" si="6"/>
        <v>1909.44</v>
      </c>
      <c r="J17" s="59">
        <f t="shared" si="6"/>
        <v>1909.44</v>
      </c>
      <c r="K17" s="59">
        <f t="shared" si="6"/>
        <v>1909.44</v>
      </c>
      <c r="L17" s="59">
        <f t="shared" si="6"/>
        <v>1909.44</v>
      </c>
      <c r="M17" s="59">
        <f t="shared" si="6"/>
        <v>1909.44</v>
      </c>
      <c r="N17" s="59">
        <f t="shared" si="6"/>
        <v>1909.44</v>
      </c>
      <c r="O17" s="60" t="s">
        <v>82</v>
      </c>
      <c r="P17" s="61">
        <v>0</v>
      </c>
    </row>
    <row r="20" spans="2:16" x14ac:dyDescent="0.25">
      <c r="B20" s="288" t="s">
        <v>83</v>
      </c>
      <c r="C20" s="288"/>
      <c r="D20" s="288"/>
      <c r="E20" s="288"/>
      <c r="F20" s="288"/>
      <c r="G20" s="288"/>
      <c r="H20" s="288"/>
      <c r="I20" s="288"/>
      <c r="J20" s="288"/>
      <c r="K20" s="288"/>
      <c r="L20" s="288"/>
      <c r="M20" s="288"/>
      <c r="N20" s="288"/>
      <c r="O20" s="288"/>
      <c r="P20" s="288"/>
    </row>
    <row r="21" spans="2:16" x14ac:dyDescent="0.25">
      <c r="B21" s="213"/>
      <c r="C21" s="215" t="s">
        <v>50</v>
      </c>
      <c r="D21" s="215" t="s">
        <v>51</v>
      </c>
      <c r="E21" s="215" t="s">
        <v>52</v>
      </c>
      <c r="F21" s="215" t="s">
        <v>53</v>
      </c>
      <c r="G21" s="215" t="s">
        <v>54</v>
      </c>
      <c r="H21" s="215" t="s">
        <v>55</v>
      </c>
      <c r="I21" s="215" t="s">
        <v>56</v>
      </c>
      <c r="J21" s="215" t="s">
        <v>57</v>
      </c>
      <c r="K21" s="215" t="s">
        <v>58</v>
      </c>
      <c r="L21" s="215" t="s">
        <v>59</v>
      </c>
      <c r="M21" s="215" t="s">
        <v>60</v>
      </c>
      <c r="N21" s="215" t="s">
        <v>61</v>
      </c>
      <c r="O21" s="220" t="s">
        <v>62</v>
      </c>
      <c r="P21" s="221"/>
    </row>
    <row r="22" spans="2:16" x14ac:dyDescent="0.25">
      <c r="B22" s="214"/>
      <c r="C22" s="216"/>
      <c r="D22" s="216"/>
      <c r="E22" s="216"/>
      <c r="F22" s="216"/>
      <c r="G22" s="216"/>
      <c r="H22" s="216"/>
      <c r="I22" s="216"/>
      <c r="J22" s="216"/>
      <c r="K22" s="216"/>
      <c r="L22" s="216"/>
      <c r="M22" s="216"/>
      <c r="N22" s="216"/>
      <c r="O22" s="58" t="s">
        <v>64</v>
      </c>
      <c r="P22" s="58" t="s">
        <v>65</v>
      </c>
    </row>
    <row r="23" spans="2:16" x14ac:dyDescent="0.25">
      <c r="B23" s="35" t="s">
        <v>84</v>
      </c>
      <c r="C23" s="35">
        <v>7100</v>
      </c>
      <c r="D23" s="35">
        <v>7100</v>
      </c>
      <c r="E23" s="35">
        <v>7100</v>
      </c>
      <c r="F23" s="35">
        <v>7100</v>
      </c>
      <c r="G23" s="35">
        <v>7100</v>
      </c>
      <c r="H23" s="35">
        <v>7100</v>
      </c>
      <c r="I23" s="35">
        <v>7100</v>
      </c>
      <c r="J23" s="35">
        <v>7100</v>
      </c>
      <c r="K23" s="35">
        <v>7100</v>
      </c>
      <c r="L23" s="35">
        <v>7100</v>
      </c>
      <c r="M23" s="35">
        <v>7100</v>
      </c>
      <c r="N23" s="35">
        <v>7100</v>
      </c>
      <c r="O23" s="60" t="s">
        <v>85</v>
      </c>
      <c r="P23" s="61">
        <f>SUM(C23:N23)</f>
        <v>85200</v>
      </c>
    </row>
    <row r="24" spans="2:16" x14ac:dyDescent="0.25">
      <c r="B24" s="34" t="s">
        <v>86</v>
      </c>
      <c r="C24" s="34">
        <f t="shared" ref="C24:N24" si="7">C23*20%</f>
        <v>1420</v>
      </c>
      <c r="D24" s="34">
        <f t="shared" si="7"/>
        <v>1420</v>
      </c>
      <c r="E24" s="34">
        <f t="shared" si="7"/>
        <v>1420</v>
      </c>
      <c r="F24" s="34">
        <f t="shared" si="7"/>
        <v>1420</v>
      </c>
      <c r="G24" s="34">
        <f t="shared" si="7"/>
        <v>1420</v>
      </c>
      <c r="H24" s="34">
        <f t="shared" si="7"/>
        <v>1420</v>
      </c>
      <c r="I24" s="34">
        <f t="shared" si="7"/>
        <v>1420</v>
      </c>
      <c r="J24" s="34">
        <f t="shared" si="7"/>
        <v>1420</v>
      </c>
      <c r="K24" s="34">
        <f t="shared" si="7"/>
        <v>1420</v>
      </c>
      <c r="L24" s="34">
        <f t="shared" si="7"/>
        <v>1420</v>
      </c>
      <c r="M24" s="34">
        <f t="shared" si="7"/>
        <v>1420</v>
      </c>
      <c r="N24" s="34">
        <f t="shared" si="7"/>
        <v>1420</v>
      </c>
      <c r="O24" s="34"/>
      <c r="P24" s="34"/>
    </row>
    <row r="25" spans="2:16" x14ac:dyDescent="0.25">
      <c r="B25" s="142" t="s">
        <v>223</v>
      </c>
      <c r="C25" s="34">
        <f>$P$25/12</f>
        <v>308.03571428571428</v>
      </c>
      <c r="D25" s="34">
        <f t="shared" ref="D25:N25" si="8">$P$25/12</f>
        <v>308.03571428571428</v>
      </c>
      <c r="E25" s="34">
        <f t="shared" si="8"/>
        <v>308.03571428571428</v>
      </c>
      <c r="F25" s="34">
        <f t="shared" si="8"/>
        <v>308.03571428571428</v>
      </c>
      <c r="G25" s="34">
        <f t="shared" si="8"/>
        <v>308.03571428571428</v>
      </c>
      <c r="H25" s="34">
        <f t="shared" si="8"/>
        <v>308.03571428571428</v>
      </c>
      <c r="I25" s="34">
        <f t="shared" si="8"/>
        <v>308.03571428571428</v>
      </c>
      <c r="J25" s="34">
        <f t="shared" si="8"/>
        <v>308.03571428571428</v>
      </c>
      <c r="K25" s="34">
        <f t="shared" si="8"/>
        <v>308.03571428571428</v>
      </c>
      <c r="L25" s="34">
        <f t="shared" si="8"/>
        <v>308.03571428571428</v>
      </c>
      <c r="M25" s="34">
        <f t="shared" si="8"/>
        <v>308.03571428571428</v>
      </c>
      <c r="N25" s="34">
        <f t="shared" si="8"/>
        <v>308.03571428571428</v>
      </c>
      <c r="O25" s="61" t="s">
        <v>224</v>
      </c>
      <c r="P25" s="61">
        <f>Emprunt!S4</f>
        <v>3696.4285714285711</v>
      </c>
    </row>
    <row r="26" spans="2:16" x14ac:dyDescent="0.25">
      <c r="B26" s="34" t="s">
        <v>225</v>
      </c>
      <c r="C26" s="34">
        <f>C25*0.2</f>
        <v>61.607142857142861</v>
      </c>
      <c r="D26" s="34">
        <f t="shared" ref="D26:N26" si="9">D25*0.2</f>
        <v>61.607142857142861</v>
      </c>
      <c r="E26" s="34">
        <f t="shared" si="9"/>
        <v>61.607142857142861</v>
      </c>
      <c r="F26" s="34">
        <f t="shared" si="9"/>
        <v>61.607142857142861</v>
      </c>
      <c r="G26" s="34">
        <f t="shared" si="9"/>
        <v>61.607142857142861</v>
      </c>
      <c r="H26" s="34">
        <f t="shared" si="9"/>
        <v>61.607142857142861</v>
      </c>
      <c r="I26" s="34">
        <f t="shared" si="9"/>
        <v>61.607142857142861</v>
      </c>
      <c r="J26" s="34">
        <f t="shared" si="9"/>
        <v>61.607142857142861</v>
      </c>
      <c r="K26" s="34">
        <f t="shared" si="9"/>
        <v>61.607142857142861</v>
      </c>
      <c r="L26" s="34">
        <f t="shared" si="9"/>
        <v>61.607142857142861</v>
      </c>
      <c r="M26" s="34">
        <f t="shared" si="9"/>
        <v>61.607142857142861</v>
      </c>
      <c r="N26" s="34">
        <f t="shared" si="9"/>
        <v>61.607142857142861</v>
      </c>
      <c r="O26" s="34"/>
      <c r="P26" s="34"/>
    </row>
    <row r="27" spans="2:16" x14ac:dyDescent="0.25">
      <c r="B27" s="34" t="s">
        <v>87</v>
      </c>
      <c r="C27" s="34">
        <f>SUM(C23:C26)</f>
        <v>8889.6428571428569</v>
      </c>
      <c r="D27" s="34">
        <f t="shared" ref="D27:N27" si="10">SUM(D23:D26)</f>
        <v>8889.6428571428569</v>
      </c>
      <c r="E27" s="34">
        <f t="shared" si="10"/>
        <v>8889.6428571428569</v>
      </c>
      <c r="F27" s="34">
        <f t="shared" si="10"/>
        <v>8889.6428571428569</v>
      </c>
      <c r="G27" s="34">
        <f t="shared" si="10"/>
        <v>8889.6428571428569</v>
      </c>
      <c r="H27" s="34">
        <f t="shared" si="10"/>
        <v>8889.6428571428569</v>
      </c>
      <c r="I27" s="34">
        <f t="shared" si="10"/>
        <v>8889.6428571428569</v>
      </c>
      <c r="J27" s="34">
        <f t="shared" si="10"/>
        <v>8889.6428571428569</v>
      </c>
      <c r="K27" s="34">
        <f t="shared" si="10"/>
        <v>8889.6428571428569</v>
      </c>
      <c r="L27" s="34">
        <f t="shared" si="10"/>
        <v>8889.6428571428569</v>
      </c>
      <c r="M27" s="34">
        <f t="shared" si="10"/>
        <v>8889.6428571428569</v>
      </c>
      <c r="N27" s="34">
        <f t="shared" si="10"/>
        <v>8889.6428571428569</v>
      </c>
      <c r="O27" s="34"/>
      <c r="P27" s="34"/>
    </row>
    <row r="28" spans="2:16" x14ac:dyDescent="0.25">
      <c r="B28" s="59" t="s">
        <v>81</v>
      </c>
      <c r="C28" s="59">
        <f>C27</f>
        <v>8889.6428571428569</v>
      </c>
      <c r="D28" s="59">
        <f t="shared" ref="D28:N28" si="11">D27</f>
        <v>8889.6428571428569</v>
      </c>
      <c r="E28" s="59">
        <f t="shared" si="11"/>
        <v>8889.6428571428569</v>
      </c>
      <c r="F28" s="59">
        <f t="shared" si="11"/>
        <v>8889.6428571428569</v>
      </c>
      <c r="G28" s="59">
        <f t="shared" si="11"/>
        <v>8889.6428571428569</v>
      </c>
      <c r="H28" s="59">
        <f t="shared" si="11"/>
        <v>8889.6428571428569</v>
      </c>
      <c r="I28" s="59">
        <f t="shared" si="11"/>
        <v>8889.6428571428569</v>
      </c>
      <c r="J28" s="59">
        <f t="shared" si="11"/>
        <v>8889.6428571428569</v>
      </c>
      <c r="K28" s="59">
        <f t="shared" si="11"/>
        <v>8889.6428571428569</v>
      </c>
      <c r="L28" s="59">
        <f t="shared" si="11"/>
        <v>8889.6428571428569</v>
      </c>
      <c r="M28" s="59">
        <f t="shared" si="11"/>
        <v>8889.6428571428569</v>
      </c>
      <c r="N28" s="59">
        <f t="shared" si="11"/>
        <v>8889.6428571428569</v>
      </c>
      <c r="O28" s="34"/>
      <c r="P28" s="34"/>
    </row>
    <row r="29" spans="2:16" x14ac:dyDescent="0.25">
      <c r="B29" s="34" t="s">
        <v>89</v>
      </c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>
        <v>7500</v>
      </c>
      <c r="O29" s="34"/>
      <c r="P29" s="34"/>
    </row>
    <row r="30" spans="2:16" x14ac:dyDescent="0.25">
      <c r="B30" s="34" t="s">
        <v>92</v>
      </c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</row>
    <row r="31" spans="2:16" x14ac:dyDescent="0.25">
      <c r="B31" s="59" t="s">
        <v>94</v>
      </c>
      <c r="C31" s="59">
        <f t="shared" ref="C31:N31" si="12">C29+C30</f>
        <v>0</v>
      </c>
      <c r="D31" s="59">
        <f t="shared" si="12"/>
        <v>0</v>
      </c>
      <c r="E31" s="59">
        <f t="shared" si="12"/>
        <v>0</v>
      </c>
      <c r="F31" s="59">
        <f t="shared" si="12"/>
        <v>0</v>
      </c>
      <c r="G31" s="59">
        <f t="shared" si="12"/>
        <v>0</v>
      </c>
      <c r="H31" s="59">
        <f t="shared" si="12"/>
        <v>0</v>
      </c>
      <c r="I31" s="59">
        <f t="shared" si="12"/>
        <v>0</v>
      </c>
      <c r="J31" s="59">
        <f t="shared" si="12"/>
        <v>0</v>
      </c>
      <c r="K31" s="59">
        <f t="shared" si="12"/>
        <v>0</v>
      </c>
      <c r="L31" s="59">
        <f t="shared" si="12"/>
        <v>0</v>
      </c>
      <c r="M31" s="59">
        <f t="shared" si="12"/>
        <v>0</v>
      </c>
      <c r="N31" s="59">
        <f t="shared" si="12"/>
        <v>7500</v>
      </c>
      <c r="O31" s="60" t="s">
        <v>93</v>
      </c>
      <c r="P31" s="61">
        <f>SUM(C31:N31)</f>
        <v>7500</v>
      </c>
    </row>
    <row r="32" spans="2:16" x14ac:dyDescent="0.25">
      <c r="B32" s="34" t="s">
        <v>95</v>
      </c>
      <c r="C32" s="34">
        <f t="shared" ref="C32:N32" si="13">307500/12</f>
        <v>25625</v>
      </c>
      <c r="D32" s="34">
        <f t="shared" si="13"/>
        <v>25625</v>
      </c>
      <c r="E32" s="34">
        <f t="shared" si="13"/>
        <v>25625</v>
      </c>
      <c r="F32" s="34">
        <f t="shared" si="13"/>
        <v>25625</v>
      </c>
      <c r="G32" s="34">
        <f t="shared" si="13"/>
        <v>25625</v>
      </c>
      <c r="H32" s="34">
        <f t="shared" si="13"/>
        <v>25625</v>
      </c>
      <c r="I32" s="34">
        <f t="shared" si="13"/>
        <v>25625</v>
      </c>
      <c r="J32" s="34">
        <f t="shared" si="13"/>
        <v>25625</v>
      </c>
      <c r="K32" s="34">
        <f t="shared" si="13"/>
        <v>25625</v>
      </c>
      <c r="L32" s="34">
        <f t="shared" si="13"/>
        <v>25625</v>
      </c>
      <c r="M32" s="34">
        <f t="shared" si="13"/>
        <v>25625</v>
      </c>
      <c r="N32" s="34">
        <f t="shared" si="13"/>
        <v>25625</v>
      </c>
      <c r="O32" s="37"/>
      <c r="P32" s="37"/>
    </row>
    <row r="33" spans="2:31" x14ac:dyDescent="0.25">
      <c r="B33" s="59" t="s">
        <v>96</v>
      </c>
      <c r="C33" s="59">
        <f t="shared" ref="C33:N33" si="14">C32</f>
        <v>25625</v>
      </c>
      <c r="D33" s="59">
        <f t="shared" si="14"/>
        <v>25625</v>
      </c>
      <c r="E33" s="59">
        <f t="shared" si="14"/>
        <v>25625</v>
      </c>
      <c r="F33" s="59">
        <f t="shared" si="14"/>
        <v>25625</v>
      </c>
      <c r="G33" s="59">
        <f t="shared" si="14"/>
        <v>25625</v>
      </c>
      <c r="H33" s="59">
        <f t="shared" si="14"/>
        <v>25625</v>
      </c>
      <c r="I33" s="59">
        <f t="shared" si="14"/>
        <v>25625</v>
      </c>
      <c r="J33" s="59">
        <f t="shared" si="14"/>
        <v>25625</v>
      </c>
      <c r="K33" s="59">
        <f t="shared" si="14"/>
        <v>25625</v>
      </c>
      <c r="L33" s="59">
        <f t="shared" si="14"/>
        <v>25625</v>
      </c>
      <c r="M33" s="59">
        <f t="shared" si="14"/>
        <v>25625</v>
      </c>
      <c r="N33" s="59">
        <f t="shared" si="14"/>
        <v>25625</v>
      </c>
      <c r="O33" s="60" t="s">
        <v>97</v>
      </c>
      <c r="P33" s="61">
        <f>SUM(C33:N33)</f>
        <v>307500</v>
      </c>
    </row>
    <row r="34" spans="2:31" x14ac:dyDescent="0.25">
      <c r="B34" s="34" t="s">
        <v>21</v>
      </c>
      <c r="C34" s="34">
        <f t="shared" ref="C34:N34" si="15">C32*0.4</f>
        <v>10250</v>
      </c>
      <c r="D34" s="34">
        <f t="shared" si="15"/>
        <v>10250</v>
      </c>
      <c r="E34" s="34">
        <f t="shared" si="15"/>
        <v>10250</v>
      </c>
      <c r="F34" s="34">
        <f t="shared" si="15"/>
        <v>10250</v>
      </c>
      <c r="G34" s="34">
        <f t="shared" si="15"/>
        <v>10250</v>
      </c>
      <c r="H34" s="34">
        <f t="shared" si="15"/>
        <v>10250</v>
      </c>
      <c r="I34" s="34">
        <f t="shared" si="15"/>
        <v>10250</v>
      </c>
      <c r="J34" s="34">
        <f t="shared" si="15"/>
        <v>10250</v>
      </c>
      <c r="K34" s="34">
        <f t="shared" si="15"/>
        <v>10250</v>
      </c>
      <c r="L34" s="34">
        <f t="shared" si="15"/>
        <v>10250</v>
      </c>
      <c r="M34" s="34">
        <f t="shared" si="15"/>
        <v>10250</v>
      </c>
      <c r="N34" s="34">
        <f t="shared" si="15"/>
        <v>10250</v>
      </c>
      <c r="O34" s="60" t="s">
        <v>98</v>
      </c>
      <c r="P34" s="61">
        <f>SUM(C34:N34)</f>
        <v>123000</v>
      </c>
    </row>
    <row r="35" spans="2:31" x14ac:dyDescent="0.25">
      <c r="B35" s="59" t="s">
        <v>99</v>
      </c>
      <c r="C35" s="59">
        <v>16000</v>
      </c>
      <c r="D35" s="59">
        <f t="shared" ref="D35:N35" si="16">C34</f>
        <v>10250</v>
      </c>
      <c r="E35" s="59">
        <f t="shared" si="16"/>
        <v>10250</v>
      </c>
      <c r="F35" s="59">
        <f t="shared" si="16"/>
        <v>10250</v>
      </c>
      <c r="G35" s="59">
        <f t="shared" si="16"/>
        <v>10250</v>
      </c>
      <c r="H35" s="59">
        <f t="shared" si="16"/>
        <v>10250</v>
      </c>
      <c r="I35" s="59">
        <f t="shared" si="16"/>
        <v>10250</v>
      </c>
      <c r="J35" s="59">
        <f t="shared" si="16"/>
        <v>10250</v>
      </c>
      <c r="K35" s="59">
        <f t="shared" si="16"/>
        <v>10250</v>
      </c>
      <c r="L35" s="59">
        <f t="shared" si="16"/>
        <v>10250</v>
      </c>
      <c r="M35" s="59">
        <f t="shared" si="16"/>
        <v>10250</v>
      </c>
      <c r="N35" s="59">
        <f t="shared" si="16"/>
        <v>10250</v>
      </c>
      <c r="O35" s="60" t="s">
        <v>100</v>
      </c>
      <c r="P35" s="61">
        <f>N34</f>
        <v>10250</v>
      </c>
    </row>
    <row r="38" spans="2:31" x14ac:dyDescent="0.25">
      <c r="B38" s="288" t="s">
        <v>101</v>
      </c>
      <c r="C38" s="288"/>
      <c r="D38" s="288"/>
      <c r="E38" s="288"/>
      <c r="F38" s="288"/>
      <c r="G38" s="288"/>
      <c r="H38" s="288"/>
      <c r="I38" s="288"/>
      <c r="J38" s="288"/>
      <c r="K38" s="288"/>
      <c r="L38" s="288"/>
      <c r="M38" s="288"/>
      <c r="N38" s="288"/>
      <c r="O38" s="288"/>
      <c r="P38" s="288"/>
    </row>
    <row r="39" spans="2:31" x14ac:dyDescent="0.25">
      <c r="B39" s="213"/>
      <c r="C39" s="215" t="s">
        <v>50</v>
      </c>
      <c r="D39" s="215" t="s">
        <v>51</v>
      </c>
      <c r="E39" s="215" t="s">
        <v>52</v>
      </c>
      <c r="F39" s="215" t="s">
        <v>53</v>
      </c>
      <c r="G39" s="215" t="s">
        <v>54</v>
      </c>
      <c r="H39" s="215" t="s">
        <v>55</v>
      </c>
      <c r="I39" s="215" t="s">
        <v>56</v>
      </c>
      <c r="J39" s="215" t="s">
        <v>57</v>
      </c>
      <c r="K39" s="215" t="s">
        <v>58</v>
      </c>
      <c r="L39" s="215" t="s">
        <v>59</v>
      </c>
      <c r="M39" s="215" t="s">
        <v>60</v>
      </c>
      <c r="N39" s="215" t="s">
        <v>61</v>
      </c>
      <c r="O39" s="220" t="s">
        <v>62</v>
      </c>
      <c r="P39" s="221"/>
    </row>
    <row r="40" spans="2:31" x14ac:dyDescent="0.25">
      <c r="B40" s="214"/>
      <c r="C40" s="216"/>
      <c r="D40" s="216"/>
      <c r="E40" s="216"/>
      <c r="F40" s="216"/>
      <c r="G40" s="216"/>
      <c r="H40" s="216"/>
      <c r="I40" s="216"/>
      <c r="J40" s="216"/>
      <c r="K40" s="216"/>
      <c r="L40" s="216"/>
      <c r="M40" s="216"/>
      <c r="N40" s="216"/>
      <c r="O40" s="58" t="s">
        <v>64</v>
      </c>
      <c r="P40" s="58" t="s">
        <v>65</v>
      </c>
    </row>
    <row r="41" spans="2:31" x14ac:dyDescent="0.25">
      <c r="B41" s="46" t="s">
        <v>102</v>
      </c>
      <c r="C41" s="35"/>
      <c r="D41" s="35"/>
      <c r="E41" s="35"/>
      <c r="F41" s="35"/>
      <c r="G41" s="35"/>
      <c r="H41" s="35"/>
      <c r="I41" s="35"/>
      <c r="J41" s="35"/>
      <c r="K41" s="35"/>
      <c r="L41" s="35">
        <v>8200</v>
      </c>
      <c r="M41" s="35"/>
      <c r="N41" s="35"/>
      <c r="O41" s="60" t="s">
        <v>103</v>
      </c>
      <c r="P41" s="61">
        <f>SUM(C41:N41)</f>
        <v>8200</v>
      </c>
    </row>
    <row r="42" spans="2:31" x14ac:dyDescent="0.25">
      <c r="B42" s="34" t="s">
        <v>105</v>
      </c>
      <c r="C42" s="34"/>
      <c r="D42" s="34"/>
      <c r="E42" s="34"/>
      <c r="F42" s="34"/>
      <c r="G42" s="34"/>
      <c r="H42" s="34"/>
      <c r="I42" s="34"/>
      <c r="J42" s="34"/>
      <c r="K42" s="34"/>
      <c r="L42" s="34">
        <v>8200</v>
      </c>
      <c r="M42" s="34"/>
      <c r="N42" s="34"/>
      <c r="O42" s="34"/>
      <c r="P42" s="34"/>
    </row>
    <row r="43" spans="2:31" x14ac:dyDescent="0.25">
      <c r="B43" s="34" t="s">
        <v>106</v>
      </c>
      <c r="C43" s="34">
        <f t="shared" ref="C43:N43" si="17">$P$43/12</f>
        <v>350</v>
      </c>
      <c r="D43" s="34">
        <f t="shared" si="17"/>
        <v>350</v>
      </c>
      <c r="E43" s="34">
        <f t="shared" si="17"/>
        <v>350</v>
      </c>
      <c r="F43" s="34">
        <f t="shared" si="17"/>
        <v>350</v>
      </c>
      <c r="G43" s="34">
        <f t="shared" si="17"/>
        <v>350</v>
      </c>
      <c r="H43" s="34">
        <f t="shared" si="17"/>
        <v>350</v>
      </c>
      <c r="I43" s="34">
        <f t="shared" si="17"/>
        <v>350</v>
      </c>
      <c r="J43" s="34">
        <f t="shared" si="17"/>
        <v>350</v>
      </c>
      <c r="K43" s="34">
        <f t="shared" si="17"/>
        <v>350</v>
      </c>
      <c r="L43" s="34">
        <f t="shared" si="17"/>
        <v>350</v>
      </c>
      <c r="M43" s="34">
        <f t="shared" si="17"/>
        <v>350</v>
      </c>
      <c r="N43" s="34">
        <f t="shared" si="17"/>
        <v>350</v>
      </c>
      <c r="O43" s="60" t="s">
        <v>107</v>
      </c>
      <c r="P43" s="61">
        <f>Informations!D26</f>
        <v>4200</v>
      </c>
    </row>
    <row r="44" spans="2:31" x14ac:dyDescent="0.25">
      <c r="B44" s="34" t="s">
        <v>108</v>
      </c>
      <c r="C44" s="34">
        <f t="shared" ref="C44:N44" si="18">$P$44/12</f>
        <v>5000</v>
      </c>
      <c r="D44" s="34">
        <f t="shared" si="18"/>
        <v>5000</v>
      </c>
      <c r="E44" s="34">
        <f t="shared" si="18"/>
        <v>5000</v>
      </c>
      <c r="F44" s="34">
        <f t="shared" si="18"/>
        <v>5000</v>
      </c>
      <c r="G44" s="34">
        <f t="shared" si="18"/>
        <v>5000</v>
      </c>
      <c r="H44" s="34">
        <f t="shared" si="18"/>
        <v>5000</v>
      </c>
      <c r="I44" s="34">
        <f t="shared" si="18"/>
        <v>5000</v>
      </c>
      <c r="J44" s="34">
        <f t="shared" si="18"/>
        <v>5000</v>
      </c>
      <c r="K44" s="34">
        <f t="shared" si="18"/>
        <v>5000</v>
      </c>
      <c r="L44" s="34">
        <f t="shared" si="18"/>
        <v>5000</v>
      </c>
      <c r="M44" s="34">
        <f t="shared" si="18"/>
        <v>5000</v>
      </c>
      <c r="N44" s="34">
        <f t="shared" si="18"/>
        <v>5000</v>
      </c>
      <c r="O44" s="60" t="s">
        <v>109</v>
      </c>
      <c r="P44" s="61">
        <f>Informations!E26</f>
        <v>60000</v>
      </c>
    </row>
    <row r="45" spans="2:31" x14ac:dyDescent="0.25">
      <c r="B45" s="34" t="s">
        <v>217</v>
      </c>
      <c r="C45" s="34">
        <f>Informations!$I31</f>
        <v>0</v>
      </c>
      <c r="D45" s="34">
        <f>Informations!$I31</f>
        <v>0</v>
      </c>
      <c r="E45" s="34">
        <f>Informations!$I31</f>
        <v>0</v>
      </c>
      <c r="F45" s="34">
        <f>Informations!$I31</f>
        <v>0</v>
      </c>
      <c r="G45" s="34">
        <f>Informations!$I31</f>
        <v>0</v>
      </c>
      <c r="H45" s="34">
        <f>Informations!$I31</f>
        <v>0</v>
      </c>
      <c r="I45" s="34">
        <f>Informations!$I31</f>
        <v>0</v>
      </c>
      <c r="J45" s="34">
        <f>Informations!$I31</f>
        <v>0</v>
      </c>
      <c r="K45" s="34">
        <f>Informations!$I31</f>
        <v>0</v>
      </c>
      <c r="L45" s="34">
        <f>Informations!$I31</f>
        <v>0</v>
      </c>
      <c r="M45" s="34">
        <f>Informations!$I31</f>
        <v>0</v>
      </c>
      <c r="N45" s="34">
        <f>Informations!$I31</f>
        <v>0</v>
      </c>
      <c r="O45" s="60" t="s">
        <v>226</v>
      </c>
      <c r="P45" s="61">
        <f>SUM(C45:N45)</f>
        <v>0</v>
      </c>
    </row>
    <row r="46" spans="2:31" x14ac:dyDescent="0.25">
      <c r="B46" s="59" t="s">
        <v>71</v>
      </c>
      <c r="C46" s="59">
        <f>C43+C44+C45</f>
        <v>5350</v>
      </c>
      <c r="D46" s="59">
        <f t="shared" ref="D46:N46" si="19">D43+D44+D45</f>
        <v>5350</v>
      </c>
      <c r="E46" s="59">
        <f t="shared" si="19"/>
        <v>5350</v>
      </c>
      <c r="F46" s="59">
        <f t="shared" si="19"/>
        <v>5350</v>
      </c>
      <c r="G46" s="59">
        <f t="shared" si="19"/>
        <v>5350</v>
      </c>
      <c r="H46" s="59">
        <f t="shared" si="19"/>
        <v>5350</v>
      </c>
      <c r="I46" s="59">
        <f t="shared" si="19"/>
        <v>5350</v>
      </c>
      <c r="J46" s="59">
        <f t="shared" si="19"/>
        <v>5350</v>
      </c>
      <c r="K46" s="59">
        <f t="shared" si="19"/>
        <v>5350</v>
      </c>
      <c r="L46" s="59">
        <f t="shared" si="19"/>
        <v>5350</v>
      </c>
      <c r="M46" s="59">
        <f t="shared" si="19"/>
        <v>5350</v>
      </c>
      <c r="N46" s="59">
        <f t="shared" si="19"/>
        <v>5350</v>
      </c>
      <c r="O46" s="38"/>
      <c r="P46" s="38"/>
    </row>
    <row r="48" spans="2:31" x14ac:dyDescent="0.25">
      <c r="S48" s="283" t="s">
        <v>203</v>
      </c>
      <c r="T48" s="283" t="s">
        <v>50</v>
      </c>
      <c r="U48" s="283" t="s">
        <v>51</v>
      </c>
      <c r="V48" s="283" t="s">
        <v>52</v>
      </c>
      <c r="W48" s="283" t="s">
        <v>53</v>
      </c>
      <c r="X48" s="283" t="s">
        <v>54</v>
      </c>
      <c r="Y48" s="283" t="s">
        <v>55</v>
      </c>
      <c r="Z48" s="283" t="s">
        <v>56</v>
      </c>
      <c r="AA48" s="283" t="s">
        <v>57</v>
      </c>
      <c r="AB48" s="283" t="s">
        <v>58</v>
      </c>
      <c r="AC48" s="283" t="s">
        <v>59</v>
      </c>
      <c r="AD48" s="283" t="s">
        <v>60</v>
      </c>
      <c r="AE48" s="283" t="s">
        <v>61</v>
      </c>
    </row>
    <row r="49" spans="2:31" x14ac:dyDescent="0.25">
      <c r="B49" s="288" t="s">
        <v>110</v>
      </c>
      <c r="C49" s="288"/>
      <c r="D49" s="288"/>
      <c r="E49" s="288"/>
      <c r="F49" s="288"/>
      <c r="G49" s="288"/>
      <c r="H49" s="288"/>
      <c r="I49" s="288"/>
      <c r="J49" s="288"/>
      <c r="K49" s="288"/>
      <c r="L49" s="288"/>
      <c r="M49" s="288"/>
      <c r="N49" s="288"/>
      <c r="O49" s="288"/>
      <c r="P49" s="288"/>
      <c r="S49" s="283"/>
      <c r="T49" s="283"/>
      <c r="U49" s="283"/>
      <c r="V49" s="283"/>
      <c r="W49" s="283"/>
      <c r="X49" s="283"/>
      <c r="Y49" s="283"/>
      <c r="Z49" s="283"/>
      <c r="AA49" s="283"/>
      <c r="AB49" s="283"/>
      <c r="AC49" s="283"/>
      <c r="AD49" s="283"/>
      <c r="AE49" s="283"/>
    </row>
    <row r="50" spans="2:31" x14ac:dyDescent="0.25">
      <c r="B50" s="213"/>
      <c r="C50" s="215" t="s">
        <v>50</v>
      </c>
      <c r="D50" s="215" t="s">
        <v>51</v>
      </c>
      <c r="E50" s="215" t="s">
        <v>52</v>
      </c>
      <c r="F50" s="215" t="s">
        <v>53</v>
      </c>
      <c r="G50" s="215" t="s">
        <v>54</v>
      </c>
      <c r="H50" s="215" t="s">
        <v>55</v>
      </c>
      <c r="I50" s="215" t="s">
        <v>56</v>
      </c>
      <c r="J50" s="215" t="s">
        <v>57</v>
      </c>
      <c r="K50" s="215" t="s">
        <v>58</v>
      </c>
      <c r="L50" s="215" t="s">
        <v>59</v>
      </c>
      <c r="M50" s="215" t="s">
        <v>60</v>
      </c>
      <c r="N50" s="215" t="s">
        <v>61</v>
      </c>
      <c r="O50" s="220" t="s">
        <v>62</v>
      </c>
      <c r="P50" s="221"/>
      <c r="S50" s="59" t="s">
        <v>204</v>
      </c>
      <c r="T50" s="59">
        <f t="shared" ref="T50:AE50" si="20">C75</f>
        <v>78000</v>
      </c>
      <c r="U50" s="59">
        <f t="shared" si="20"/>
        <v>6364.8</v>
      </c>
      <c r="V50" s="59">
        <f t="shared" si="20"/>
        <v>36364.800000000003</v>
      </c>
      <c r="W50" s="59">
        <f t="shared" si="20"/>
        <v>6364.8</v>
      </c>
      <c r="X50" s="59">
        <f t="shared" si="20"/>
        <v>6364.8</v>
      </c>
      <c r="Y50" s="59">
        <f t="shared" si="20"/>
        <v>7864.8</v>
      </c>
      <c r="Z50" s="59">
        <f t="shared" si="20"/>
        <v>6364.8</v>
      </c>
      <c r="AA50" s="59">
        <f t="shared" si="20"/>
        <v>6364.8</v>
      </c>
      <c r="AB50" s="59">
        <f t="shared" si="20"/>
        <v>6364.8</v>
      </c>
      <c r="AC50" s="59">
        <f t="shared" si="20"/>
        <v>6364.8</v>
      </c>
      <c r="AD50" s="59">
        <f t="shared" si="20"/>
        <v>6364.8</v>
      </c>
      <c r="AE50" s="59">
        <f t="shared" si="20"/>
        <v>6364.8</v>
      </c>
    </row>
    <row r="51" spans="2:31" x14ac:dyDescent="0.25">
      <c r="B51" s="214"/>
      <c r="C51" s="216"/>
      <c r="D51" s="216"/>
      <c r="E51" s="216"/>
      <c r="F51" s="216"/>
      <c r="G51" s="216"/>
      <c r="H51" s="216"/>
      <c r="I51" s="216"/>
      <c r="J51" s="216"/>
      <c r="K51" s="216"/>
      <c r="L51" s="216"/>
      <c r="M51" s="216"/>
      <c r="N51" s="216"/>
      <c r="O51" s="58" t="s">
        <v>64</v>
      </c>
      <c r="P51" s="58" t="s">
        <v>65</v>
      </c>
      <c r="S51" s="34" t="s">
        <v>205</v>
      </c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</row>
    <row r="52" spans="2:31" x14ac:dyDescent="0.25">
      <c r="B52" s="35" t="s">
        <v>111</v>
      </c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60" t="s">
        <v>227</v>
      </c>
      <c r="P52" s="61">
        <f>SUM(C52:N52)</f>
        <v>0</v>
      </c>
      <c r="S52" s="34" t="s">
        <v>206</v>
      </c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</row>
    <row r="53" spans="2:31" x14ac:dyDescent="0.25">
      <c r="B53" s="34" t="s">
        <v>113</v>
      </c>
      <c r="C53" s="34">
        <f>C52*20%</f>
        <v>0</v>
      </c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S53" s="34" t="s">
        <v>207</v>
      </c>
      <c r="T53" s="34">
        <v>34426</v>
      </c>
      <c r="U53" s="34">
        <v>4681</v>
      </c>
      <c r="V53" s="34"/>
      <c r="W53" s="34"/>
      <c r="X53" s="34"/>
      <c r="Y53" s="34"/>
      <c r="Z53" s="34"/>
      <c r="AA53" s="34"/>
      <c r="AB53" s="34"/>
      <c r="AC53" s="34"/>
      <c r="AD53" s="34">
        <v>1619</v>
      </c>
      <c r="AE53" s="34">
        <v>2842</v>
      </c>
    </row>
    <row r="54" spans="2:31" x14ac:dyDescent="0.25">
      <c r="B54" s="34" t="s">
        <v>114</v>
      </c>
      <c r="C54" s="34">
        <f>C52+C53</f>
        <v>0</v>
      </c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S54" s="59" t="s">
        <v>210</v>
      </c>
      <c r="T54" s="59">
        <f>T50+T53</f>
        <v>112426</v>
      </c>
      <c r="U54" s="59">
        <f t="shared" ref="U54:AE54" si="21">SUM(U50:U53)</f>
        <v>11045.8</v>
      </c>
      <c r="V54" s="59">
        <f t="shared" si="21"/>
        <v>36364.800000000003</v>
      </c>
      <c r="W54" s="59">
        <f t="shared" si="21"/>
        <v>6364.8</v>
      </c>
      <c r="X54" s="59">
        <f t="shared" si="21"/>
        <v>6364.8</v>
      </c>
      <c r="Y54" s="59">
        <f t="shared" si="21"/>
        <v>7864.8</v>
      </c>
      <c r="Z54" s="59">
        <f t="shared" si="21"/>
        <v>6364.8</v>
      </c>
      <c r="AA54" s="59">
        <f t="shared" si="21"/>
        <v>6364.8</v>
      </c>
      <c r="AB54" s="59">
        <f t="shared" si="21"/>
        <v>6364.8</v>
      </c>
      <c r="AC54" s="59">
        <f t="shared" si="21"/>
        <v>6364.8</v>
      </c>
      <c r="AD54" s="59">
        <f t="shared" si="21"/>
        <v>7983.8</v>
      </c>
      <c r="AE54" s="59">
        <f t="shared" si="21"/>
        <v>9206.7999999999993</v>
      </c>
    </row>
    <row r="55" spans="2:31" x14ac:dyDescent="0.25">
      <c r="B55" s="59" t="s">
        <v>81</v>
      </c>
      <c r="C55" s="59">
        <f>C54</f>
        <v>0</v>
      </c>
      <c r="D55" s="59"/>
      <c r="E55" s="59"/>
      <c r="F55" s="59"/>
      <c r="G55" s="59"/>
      <c r="H55" s="59"/>
      <c r="I55" s="59"/>
      <c r="J55" s="59"/>
      <c r="K55" s="59"/>
      <c r="L55" s="59"/>
      <c r="M55" s="59"/>
      <c r="N55" s="59"/>
      <c r="O55" s="60" t="s">
        <v>220</v>
      </c>
      <c r="P55" s="61">
        <v>0</v>
      </c>
      <c r="S55" s="34" t="s">
        <v>211</v>
      </c>
      <c r="T55" s="34">
        <f t="shared" ref="T55:AE55" si="22">C85</f>
        <v>96649.082857142857</v>
      </c>
      <c r="U55" s="34">
        <f t="shared" si="22"/>
        <v>51660.035714285717</v>
      </c>
      <c r="V55" s="34">
        <f t="shared" si="22"/>
        <v>51660.035714285717</v>
      </c>
      <c r="W55" s="34">
        <f t="shared" si="22"/>
        <v>51660.035714285717</v>
      </c>
      <c r="X55" s="34">
        <f t="shared" si="22"/>
        <v>51660.035714285717</v>
      </c>
      <c r="Y55" s="34">
        <f t="shared" si="22"/>
        <v>51660.035714285717</v>
      </c>
      <c r="Z55" s="34">
        <f t="shared" si="22"/>
        <v>51660.035714285717</v>
      </c>
      <c r="AA55" s="34">
        <f t="shared" si="22"/>
        <v>51660.035714285717</v>
      </c>
      <c r="AB55" s="34">
        <f t="shared" si="22"/>
        <v>51660.035714285717</v>
      </c>
      <c r="AC55" s="34">
        <f t="shared" si="22"/>
        <v>59860.035714285717</v>
      </c>
      <c r="AD55" s="34">
        <f t="shared" si="22"/>
        <v>51660.035714285717</v>
      </c>
      <c r="AE55" s="34">
        <f t="shared" si="22"/>
        <v>51660.035714285717</v>
      </c>
    </row>
    <row r="56" spans="2:31" x14ac:dyDescent="0.25">
      <c r="S56" s="34" t="s">
        <v>212</v>
      </c>
      <c r="T56" s="34"/>
      <c r="U56" s="34">
        <f t="shared" ref="U56:AE56" si="23">T53*0.07</f>
        <v>2409.8200000000002</v>
      </c>
      <c r="V56" s="34">
        <f t="shared" si="23"/>
        <v>327.67</v>
      </c>
      <c r="W56" s="34">
        <f t="shared" si="23"/>
        <v>0</v>
      </c>
      <c r="X56" s="34">
        <f t="shared" si="23"/>
        <v>0</v>
      </c>
      <c r="Y56" s="34">
        <f t="shared" si="23"/>
        <v>0</v>
      </c>
      <c r="Z56" s="34">
        <f t="shared" si="23"/>
        <v>0</v>
      </c>
      <c r="AA56" s="34">
        <f t="shared" si="23"/>
        <v>0</v>
      </c>
      <c r="AB56" s="34">
        <f t="shared" si="23"/>
        <v>0</v>
      </c>
      <c r="AC56" s="34">
        <f t="shared" si="23"/>
        <v>0</v>
      </c>
      <c r="AD56" s="34">
        <f t="shared" si="23"/>
        <v>0</v>
      </c>
      <c r="AE56" s="34">
        <f t="shared" si="23"/>
        <v>113.33000000000001</v>
      </c>
    </row>
    <row r="57" spans="2:31" x14ac:dyDescent="0.25">
      <c r="S57" s="59" t="s">
        <v>213</v>
      </c>
      <c r="T57" s="59">
        <f t="shared" ref="T57:AE57" si="24">T55+T56</f>
        <v>96649.082857142857</v>
      </c>
      <c r="U57" s="59">
        <f t="shared" si="24"/>
        <v>54069.855714285717</v>
      </c>
      <c r="V57" s="59">
        <f t="shared" si="24"/>
        <v>51987.705714285716</v>
      </c>
      <c r="W57" s="59">
        <f t="shared" si="24"/>
        <v>51660.035714285717</v>
      </c>
      <c r="X57" s="59">
        <f t="shared" si="24"/>
        <v>51660.035714285717</v>
      </c>
      <c r="Y57" s="59">
        <f t="shared" si="24"/>
        <v>51660.035714285717</v>
      </c>
      <c r="Z57" s="59">
        <f t="shared" si="24"/>
        <v>51660.035714285717</v>
      </c>
      <c r="AA57" s="59">
        <f t="shared" si="24"/>
        <v>51660.035714285717</v>
      </c>
      <c r="AB57" s="59">
        <f t="shared" si="24"/>
        <v>51660.035714285717</v>
      </c>
      <c r="AC57" s="59">
        <f t="shared" si="24"/>
        <v>59860.035714285717</v>
      </c>
      <c r="AD57" s="59">
        <f t="shared" si="24"/>
        <v>51660.035714285717</v>
      </c>
      <c r="AE57" s="59">
        <f t="shared" si="24"/>
        <v>51773.365714285719</v>
      </c>
    </row>
    <row r="58" spans="2:31" x14ac:dyDescent="0.25">
      <c r="B58" s="288" t="s">
        <v>116</v>
      </c>
      <c r="C58" s="288"/>
      <c r="D58" s="288"/>
      <c r="E58" s="288"/>
      <c r="F58" s="288"/>
      <c r="G58" s="288"/>
      <c r="H58" s="288"/>
      <c r="I58" s="288"/>
      <c r="J58" s="288"/>
      <c r="K58" s="288"/>
      <c r="L58" s="288"/>
      <c r="M58" s="288"/>
      <c r="N58" s="288"/>
      <c r="O58" s="288"/>
      <c r="P58" s="288"/>
      <c r="S58" s="34" t="s">
        <v>132</v>
      </c>
      <c r="T58" s="34">
        <f>C86</f>
        <v>6350</v>
      </c>
      <c r="U58" s="34">
        <f t="shared" ref="U58:AE58" si="25">T60</f>
        <v>22126.917142857143</v>
      </c>
      <c r="V58" s="34">
        <f t="shared" si="25"/>
        <v>-20897.138571428572</v>
      </c>
      <c r="W58" s="34">
        <f t="shared" si="25"/>
        <v>-36520.044285714284</v>
      </c>
      <c r="X58" s="34">
        <f t="shared" si="25"/>
        <v>-81815.28</v>
      </c>
      <c r="Y58" s="34">
        <f t="shared" si="25"/>
        <v>-127110.51571428572</v>
      </c>
      <c r="Z58" s="34">
        <f t="shared" si="25"/>
        <v>-170905.75142857144</v>
      </c>
      <c r="AA58" s="34">
        <f t="shared" si="25"/>
        <v>-216200.98714285716</v>
      </c>
      <c r="AB58" s="34">
        <f t="shared" si="25"/>
        <v>-261496.22285714289</v>
      </c>
      <c r="AC58" s="34">
        <f t="shared" si="25"/>
        <v>-306791.45857142861</v>
      </c>
      <c r="AD58" s="34">
        <f t="shared" si="25"/>
        <v>-360286.6942857143</v>
      </c>
      <c r="AE58" s="34">
        <f t="shared" si="25"/>
        <v>-403962.93</v>
      </c>
    </row>
    <row r="59" spans="2:31" x14ac:dyDescent="0.25">
      <c r="B59" s="213"/>
      <c r="C59" s="215" t="s">
        <v>50</v>
      </c>
      <c r="D59" s="215" t="s">
        <v>51</v>
      </c>
      <c r="E59" s="215" t="s">
        <v>52</v>
      </c>
      <c r="F59" s="215" t="s">
        <v>53</v>
      </c>
      <c r="G59" s="215" t="s">
        <v>54</v>
      </c>
      <c r="H59" s="215" t="s">
        <v>55</v>
      </c>
      <c r="I59" s="215" t="s">
        <v>56</v>
      </c>
      <c r="J59" s="215" t="s">
        <v>57</v>
      </c>
      <c r="K59" s="215" t="s">
        <v>58</v>
      </c>
      <c r="L59" s="215" t="s">
        <v>59</v>
      </c>
      <c r="M59" s="215" t="s">
        <v>60</v>
      </c>
      <c r="N59" s="215" t="s">
        <v>61</v>
      </c>
      <c r="O59" s="220" t="s">
        <v>62</v>
      </c>
      <c r="P59" s="221"/>
      <c r="S59" s="34" t="s">
        <v>133</v>
      </c>
      <c r="T59" s="34">
        <f>T54-T57</f>
        <v>15776.917142857143</v>
      </c>
      <c r="U59" s="34">
        <f t="shared" ref="U59:AE59" si="26">U54-U57</f>
        <v>-43024.055714285714</v>
      </c>
      <c r="V59" s="34">
        <f t="shared" si="26"/>
        <v>-15622.905714285713</v>
      </c>
      <c r="W59" s="34">
        <f t="shared" si="26"/>
        <v>-45295.235714285714</v>
      </c>
      <c r="X59" s="34">
        <f t="shared" si="26"/>
        <v>-45295.235714285714</v>
      </c>
      <c r="Y59" s="34">
        <f t="shared" si="26"/>
        <v>-43795.235714285714</v>
      </c>
      <c r="Z59" s="34">
        <f t="shared" si="26"/>
        <v>-45295.235714285714</v>
      </c>
      <c r="AA59" s="34">
        <f t="shared" si="26"/>
        <v>-45295.235714285714</v>
      </c>
      <c r="AB59" s="34">
        <f t="shared" si="26"/>
        <v>-45295.235714285714</v>
      </c>
      <c r="AC59" s="34">
        <f t="shared" si="26"/>
        <v>-53495.235714285714</v>
      </c>
      <c r="AD59" s="34">
        <f t="shared" si="26"/>
        <v>-43676.235714285714</v>
      </c>
      <c r="AE59" s="34">
        <f t="shared" si="26"/>
        <v>-42566.565714285724</v>
      </c>
    </row>
    <row r="60" spans="2:31" x14ac:dyDescent="0.25">
      <c r="B60" s="214"/>
      <c r="C60" s="216"/>
      <c r="D60" s="216"/>
      <c r="E60" s="216"/>
      <c r="F60" s="216"/>
      <c r="G60" s="216"/>
      <c r="H60" s="216"/>
      <c r="I60" s="216"/>
      <c r="J60" s="216"/>
      <c r="K60" s="216"/>
      <c r="L60" s="216"/>
      <c r="M60" s="216"/>
      <c r="N60" s="216"/>
      <c r="O60" s="58" t="s">
        <v>64</v>
      </c>
      <c r="P60" s="58" t="s">
        <v>65</v>
      </c>
      <c r="S60" s="34" t="s">
        <v>214</v>
      </c>
      <c r="T60" s="34">
        <f t="shared" ref="T60:AD60" si="27">T58+T59</f>
        <v>22126.917142857143</v>
      </c>
      <c r="U60" s="34">
        <f t="shared" si="27"/>
        <v>-20897.138571428572</v>
      </c>
      <c r="V60" s="34">
        <f t="shared" si="27"/>
        <v>-36520.044285714284</v>
      </c>
      <c r="W60" s="34">
        <f t="shared" si="27"/>
        <v>-81815.28</v>
      </c>
      <c r="X60" s="34">
        <f t="shared" si="27"/>
        <v>-127110.51571428572</v>
      </c>
      <c r="Y60" s="34">
        <f t="shared" si="27"/>
        <v>-170905.75142857144</v>
      </c>
      <c r="Z60" s="34">
        <f t="shared" si="27"/>
        <v>-216200.98714285716</v>
      </c>
      <c r="AA60" s="34">
        <f t="shared" si="27"/>
        <v>-261496.22285714289</v>
      </c>
      <c r="AB60" s="34">
        <f t="shared" si="27"/>
        <v>-306791.45857142861</v>
      </c>
      <c r="AC60" s="34">
        <f t="shared" si="27"/>
        <v>-360286.6942857143</v>
      </c>
      <c r="AD60" s="34">
        <f t="shared" si="27"/>
        <v>-403962.93</v>
      </c>
      <c r="AE60" s="34">
        <f>AE58+AE59</f>
        <v>-446529.4957142857</v>
      </c>
    </row>
    <row r="61" spans="2:31" x14ac:dyDescent="0.25">
      <c r="B61" s="59" t="s">
        <v>68</v>
      </c>
      <c r="C61" s="59">
        <f t="shared" ref="C61:N61" si="28">C6</f>
        <v>1060.8</v>
      </c>
      <c r="D61" s="59">
        <f t="shared" si="28"/>
        <v>1060.8</v>
      </c>
      <c r="E61" s="59">
        <f t="shared" si="28"/>
        <v>1060.8</v>
      </c>
      <c r="F61" s="59">
        <f t="shared" si="28"/>
        <v>1060.8</v>
      </c>
      <c r="G61" s="59">
        <f t="shared" si="28"/>
        <v>1060.8</v>
      </c>
      <c r="H61" s="59">
        <f t="shared" si="28"/>
        <v>1060.8</v>
      </c>
      <c r="I61" s="59">
        <f t="shared" si="28"/>
        <v>1060.8</v>
      </c>
      <c r="J61" s="59">
        <f t="shared" si="28"/>
        <v>1060.8</v>
      </c>
      <c r="K61" s="59">
        <f t="shared" si="28"/>
        <v>1060.8</v>
      </c>
      <c r="L61" s="59">
        <f t="shared" si="28"/>
        <v>1060.8</v>
      </c>
      <c r="M61" s="59">
        <f t="shared" si="28"/>
        <v>1060.8</v>
      </c>
      <c r="N61" s="59">
        <f t="shared" si="28"/>
        <v>1060.8</v>
      </c>
      <c r="O61" s="34"/>
      <c r="P61" s="34"/>
    </row>
    <row r="62" spans="2:31" x14ac:dyDescent="0.25">
      <c r="B62" s="34" t="s">
        <v>79</v>
      </c>
      <c r="C62" s="34">
        <f t="shared" ref="C62:N62" si="29">C15</f>
        <v>318.24</v>
      </c>
      <c r="D62" s="34">
        <f t="shared" si="29"/>
        <v>318.24</v>
      </c>
      <c r="E62" s="34">
        <f t="shared" si="29"/>
        <v>318.24</v>
      </c>
      <c r="F62" s="34">
        <f t="shared" si="29"/>
        <v>318.24</v>
      </c>
      <c r="G62" s="34">
        <f t="shared" si="29"/>
        <v>318.24</v>
      </c>
      <c r="H62" s="34">
        <f t="shared" si="29"/>
        <v>318.24</v>
      </c>
      <c r="I62" s="34">
        <f t="shared" si="29"/>
        <v>318.24</v>
      </c>
      <c r="J62" s="34">
        <f t="shared" si="29"/>
        <v>318.24</v>
      </c>
      <c r="K62" s="34">
        <f t="shared" si="29"/>
        <v>318.24</v>
      </c>
      <c r="L62" s="34">
        <f t="shared" si="29"/>
        <v>318.24</v>
      </c>
      <c r="M62" s="34">
        <f t="shared" si="29"/>
        <v>318.24</v>
      </c>
      <c r="N62" s="34">
        <f t="shared" si="29"/>
        <v>318.24</v>
      </c>
      <c r="O62" s="34"/>
      <c r="P62" s="34"/>
    </row>
    <row r="63" spans="2:31" x14ac:dyDescent="0.25">
      <c r="B63" s="34" t="s">
        <v>86</v>
      </c>
      <c r="C63" s="34">
        <f>C24+C26</f>
        <v>1481.6071428571429</v>
      </c>
      <c r="D63" s="34">
        <f t="shared" ref="D63:N63" si="30">D24+D26</f>
        <v>1481.6071428571429</v>
      </c>
      <c r="E63" s="34">
        <f t="shared" si="30"/>
        <v>1481.6071428571429</v>
      </c>
      <c r="F63" s="34">
        <f t="shared" si="30"/>
        <v>1481.6071428571429</v>
      </c>
      <c r="G63" s="34">
        <f t="shared" si="30"/>
        <v>1481.6071428571429</v>
      </c>
      <c r="H63" s="34">
        <f t="shared" si="30"/>
        <v>1481.6071428571429</v>
      </c>
      <c r="I63" s="34">
        <f t="shared" si="30"/>
        <v>1481.6071428571429</v>
      </c>
      <c r="J63" s="34">
        <f t="shared" si="30"/>
        <v>1481.6071428571429</v>
      </c>
      <c r="K63" s="34">
        <f t="shared" si="30"/>
        <v>1481.6071428571429</v>
      </c>
      <c r="L63" s="34">
        <f t="shared" si="30"/>
        <v>1481.6071428571429</v>
      </c>
      <c r="M63" s="34">
        <f t="shared" si="30"/>
        <v>1481.6071428571429</v>
      </c>
      <c r="N63" s="34">
        <f t="shared" si="30"/>
        <v>1481.6071428571429</v>
      </c>
      <c r="O63" s="34"/>
      <c r="P63" s="34"/>
    </row>
    <row r="64" spans="2:31" x14ac:dyDescent="0.25">
      <c r="B64" s="59" t="s">
        <v>113</v>
      </c>
      <c r="C64" s="59">
        <f t="shared" ref="C64:N64" si="31">C53</f>
        <v>0</v>
      </c>
      <c r="D64" s="59">
        <f>D53</f>
        <v>0</v>
      </c>
      <c r="E64" s="59">
        <f t="shared" si="31"/>
        <v>0</v>
      </c>
      <c r="F64" s="59">
        <f t="shared" si="31"/>
        <v>0</v>
      </c>
      <c r="G64" s="59">
        <f t="shared" si="31"/>
        <v>0</v>
      </c>
      <c r="H64" s="59">
        <f t="shared" si="31"/>
        <v>0</v>
      </c>
      <c r="I64" s="59">
        <f t="shared" si="31"/>
        <v>0</v>
      </c>
      <c r="J64" s="59">
        <f t="shared" si="31"/>
        <v>0</v>
      </c>
      <c r="K64" s="59">
        <f t="shared" si="31"/>
        <v>0</v>
      </c>
      <c r="L64" s="59">
        <f t="shared" si="31"/>
        <v>0</v>
      </c>
      <c r="M64" s="59">
        <f t="shared" si="31"/>
        <v>0</v>
      </c>
      <c r="N64" s="59">
        <f t="shared" si="31"/>
        <v>0</v>
      </c>
      <c r="O64" s="34"/>
      <c r="P64" s="34"/>
    </row>
    <row r="65" spans="2:27" x14ac:dyDescent="0.25">
      <c r="B65" s="44" t="s">
        <v>117</v>
      </c>
      <c r="C65" s="42">
        <f t="shared" ref="C65:N65" si="32">C62+C63+C64</f>
        <v>1799.8471428571429</v>
      </c>
      <c r="D65" s="42">
        <f t="shared" si="32"/>
        <v>1799.8471428571429</v>
      </c>
      <c r="E65" s="42">
        <f t="shared" si="32"/>
        <v>1799.8471428571429</v>
      </c>
      <c r="F65" s="42">
        <f t="shared" si="32"/>
        <v>1799.8471428571429</v>
      </c>
      <c r="G65" s="42">
        <f t="shared" si="32"/>
        <v>1799.8471428571429</v>
      </c>
      <c r="H65" s="42">
        <f t="shared" si="32"/>
        <v>1799.8471428571429</v>
      </c>
      <c r="I65" s="42">
        <f t="shared" si="32"/>
        <v>1799.8471428571429</v>
      </c>
      <c r="J65" s="42">
        <f t="shared" si="32"/>
        <v>1799.8471428571429</v>
      </c>
      <c r="K65" s="42">
        <f t="shared" si="32"/>
        <v>1799.8471428571429</v>
      </c>
      <c r="L65" s="42">
        <f t="shared" si="32"/>
        <v>1799.8471428571429</v>
      </c>
      <c r="M65" s="42">
        <f t="shared" si="32"/>
        <v>1799.8471428571429</v>
      </c>
      <c r="N65" s="42">
        <f t="shared" si="32"/>
        <v>1799.8471428571429</v>
      </c>
      <c r="O65" s="34"/>
      <c r="P65" s="34"/>
    </row>
    <row r="66" spans="2:27" x14ac:dyDescent="0.25">
      <c r="B66" s="45" t="s">
        <v>118</v>
      </c>
      <c r="C66" s="43">
        <f t="shared" ref="C66:N66" si="33">C61-C65</f>
        <v>-739.04714285714294</v>
      </c>
      <c r="D66" s="43">
        <f>D61-D65</f>
        <v>-739.04714285714294</v>
      </c>
      <c r="E66" s="43">
        <f t="shared" si="33"/>
        <v>-739.04714285714294</v>
      </c>
      <c r="F66" s="43">
        <f t="shared" si="33"/>
        <v>-739.04714285714294</v>
      </c>
      <c r="G66" s="43">
        <f t="shared" si="33"/>
        <v>-739.04714285714294</v>
      </c>
      <c r="H66" s="43">
        <f t="shared" si="33"/>
        <v>-739.04714285714294</v>
      </c>
      <c r="I66" s="43">
        <f t="shared" si="33"/>
        <v>-739.04714285714294</v>
      </c>
      <c r="J66" s="43">
        <f t="shared" si="33"/>
        <v>-739.04714285714294</v>
      </c>
      <c r="K66" s="43">
        <f t="shared" si="33"/>
        <v>-739.04714285714294</v>
      </c>
      <c r="L66" s="43">
        <f t="shared" si="33"/>
        <v>-739.04714285714294</v>
      </c>
      <c r="M66" s="43">
        <f t="shared" si="33"/>
        <v>-739.04714285714294</v>
      </c>
      <c r="N66" s="43">
        <f t="shared" si="33"/>
        <v>-739.04714285714294</v>
      </c>
      <c r="O66" s="34"/>
      <c r="P66" s="34"/>
    </row>
    <row r="67" spans="2:27" x14ac:dyDescent="0.25">
      <c r="B67" s="59" t="s">
        <v>81</v>
      </c>
      <c r="C67" s="59">
        <v>15000</v>
      </c>
      <c r="D67" s="59">
        <f t="shared" ref="D67:N67" si="34">C66</f>
        <v>-739.04714285714294</v>
      </c>
      <c r="E67" s="59">
        <f t="shared" si="34"/>
        <v>-739.04714285714294</v>
      </c>
      <c r="F67" s="59">
        <f t="shared" si="34"/>
        <v>-739.04714285714294</v>
      </c>
      <c r="G67" s="59">
        <f t="shared" si="34"/>
        <v>-739.04714285714294</v>
      </c>
      <c r="H67" s="59">
        <f t="shared" si="34"/>
        <v>-739.04714285714294</v>
      </c>
      <c r="I67" s="59">
        <f t="shared" si="34"/>
        <v>-739.04714285714294</v>
      </c>
      <c r="J67" s="59">
        <f t="shared" si="34"/>
        <v>-739.04714285714294</v>
      </c>
      <c r="K67" s="59">
        <f t="shared" si="34"/>
        <v>-739.04714285714294</v>
      </c>
      <c r="L67" s="59">
        <f t="shared" si="34"/>
        <v>-739.04714285714294</v>
      </c>
      <c r="M67" s="59">
        <f t="shared" si="34"/>
        <v>-739.04714285714294</v>
      </c>
      <c r="N67" s="59">
        <f t="shared" si="34"/>
        <v>-739.04714285714294</v>
      </c>
      <c r="O67" s="60" t="s">
        <v>119</v>
      </c>
      <c r="P67" s="61">
        <f>N66</f>
        <v>-739.04714285714294</v>
      </c>
    </row>
    <row r="69" spans="2:27" ht="14.25" customHeight="1" x14ac:dyDescent="0.25"/>
    <row r="70" spans="2:27" ht="15" customHeight="1" x14ac:dyDescent="0.25">
      <c r="B70" s="288" t="s">
        <v>120</v>
      </c>
      <c r="C70" s="288"/>
      <c r="D70" s="288"/>
      <c r="E70" s="288"/>
      <c r="F70" s="288"/>
      <c r="G70" s="288"/>
      <c r="H70" s="288"/>
      <c r="I70" s="288"/>
      <c r="J70" s="288"/>
      <c r="K70" s="288"/>
      <c r="L70" s="288"/>
      <c r="M70" s="288"/>
      <c r="N70" s="288"/>
      <c r="O70" s="288"/>
      <c r="P70" s="288"/>
    </row>
    <row r="71" spans="2:27" x14ac:dyDescent="0.25">
      <c r="B71" s="213"/>
      <c r="C71" s="215" t="s">
        <v>50</v>
      </c>
      <c r="D71" s="215" t="s">
        <v>51</v>
      </c>
      <c r="E71" s="215" t="s">
        <v>52</v>
      </c>
      <c r="F71" s="215" t="s">
        <v>53</v>
      </c>
      <c r="G71" s="215" t="s">
        <v>54</v>
      </c>
      <c r="H71" s="215" t="s">
        <v>55</v>
      </c>
      <c r="I71" s="215" t="s">
        <v>56</v>
      </c>
      <c r="J71" s="215" t="s">
        <v>57</v>
      </c>
      <c r="K71" s="215" t="s">
        <v>58</v>
      </c>
      <c r="L71" s="215" t="s">
        <v>59</v>
      </c>
      <c r="M71" s="215" t="s">
        <v>60</v>
      </c>
      <c r="N71" s="215" t="s">
        <v>61</v>
      </c>
      <c r="O71" s="220" t="s">
        <v>62</v>
      </c>
      <c r="P71" s="221"/>
      <c r="S71" s="228" t="s">
        <v>63</v>
      </c>
      <c r="T71" s="229"/>
      <c r="V71" s="223" t="s">
        <v>228</v>
      </c>
      <c r="W71" s="224"/>
      <c r="X71" s="224"/>
      <c r="Y71" s="224"/>
      <c r="Z71" s="224"/>
      <c r="AA71" s="224"/>
    </row>
    <row r="72" spans="2:27" ht="30" x14ac:dyDescent="0.25">
      <c r="B72" s="214"/>
      <c r="C72" s="216"/>
      <c r="D72" s="216"/>
      <c r="E72" s="216"/>
      <c r="F72" s="216"/>
      <c r="G72" s="216"/>
      <c r="H72" s="216"/>
      <c r="I72" s="216"/>
      <c r="J72" s="216"/>
      <c r="K72" s="216"/>
      <c r="L72" s="216"/>
      <c r="M72" s="216"/>
      <c r="N72" s="216"/>
      <c r="O72" s="58" t="s">
        <v>64</v>
      </c>
      <c r="P72" s="58" t="s">
        <v>65</v>
      </c>
      <c r="S72" s="143" t="s">
        <v>1</v>
      </c>
      <c r="T72" s="21">
        <f>P5</f>
        <v>63648</v>
      </c>
      <c r="V72" s="144" t="s">
        <v>2</v>
      </c>
      <c r="W72" s="145" t="s">
        <v>3</v>
      </c>
      <c r="X72" s="145" t="s">
        <v>4</v>
      </c>
      <c r="Y72" s="145" t="s">
        <v>5</v>
      </c>
      <c r="Z72" s="146" t="s">
        <v>6</v>
      </c>
      <c r="AA72" s="147" t="s">
        <v>5</v>
      </c>
    </row>
    <row r="73" spans="2:27" x14ac:dyDescent="0.25">
      <c r="B73" s="35" t="s">
        <v>121</v>
      </c>
      <c r="C73" s="35">
        <f t="shared" ref="C73:N73" si="35">C8</f>
        <v>78000</v>
      </c>
      <c r="D73" s="35">
        <f t="shared" si="35"/>
        <v>6364.8</v>
      </c>
      <c r="E73" s="35">
        <f t="shared" si="35"/>
        <v>6364.8</v>
      </c>
      <c r="F73" s="35">
        <f t="shared" si="35"/>
        <v>6364.8</v>
      </c>
      <c r="G73" s="35">
        <f t="shared" si="35"/>
        <v>6364.8</v>
      </c>
      <c r="H73" s="35">
        <f t="shared" si="35"/>
        <v>6364.8</v>
      </c>
      <c r="I73" s="35">
        <f t="shared" si="35"/>
        <v>6364.8</v>
      </c>
      <c r="J73" s="34">
        <f t="shared" si="35"/>
        <v>6364.8</v>
      </c>
      <c r="K73" s="35">
        <f t="shared" si="35"/>
        <v>6364.8</v>
      </c>
      <c r="L73" s="35">
        <f t="shared" si="35"/>
        <v>6364.8</v>
      </c>
      <c r="M73" s="35">
        <f t="shared" si="35"/>
        <v>6364.8</v>
      </c>
      <c r="N73" s="35">
        <f t="shared" si="35"/>
        <v>6364.8</v>
      </c>
      <c r="O73" s="34"/>
      <c r="P73" s="34"/>
      <c r="S73" s="143" t="s">
        <v>67</v>
      </c>
      <c r="T73" s="21">
        <v>0</v>
      </c>
      <c r="V73" s="148" t="s">
        <v>8</v>
      </c>
      <c r="W73" s="148"/>
      <c r="X73" s="148">
        <f>X75+X74</f>
        <v>46600</v>
      </c>
      <c r="Y73" s="148"/>
      <c r="Z73" s="148" t="s">
        <v>9</v>
      </c>
      <c r="AA73" s="149"/>
    </row>
    <row r="74" spans="2:27" ht="30" x14ac:dyDescent="0.25">
      <c r="B74" s="34" t="s">
        <v>122</v>
      </c>
      <c r="C74" s="34"/>
      <c r="D74" s="34"/>
      <c r="E74" s="34">
        <f>E9</f>
        <v>30000</v>
      </c>
      <c r="F74" s="34"/>
      <c r="G74" s="34"/>
      <c r="H74" s="34">
        <v>1500</v>
      </c>
      <c r="I74" s="34"/>
      <c r="J74" s="34"/>
      <c r="K74" s="34"/>
      <c r="L74" s="34"/>
      <c r="M74" s="34"/>
      <c r="N74" s="34"/>
      <c r="O74" s="34"/>
      <c r="P74" s="34"/>
      <c r="S74" s="144" t="s">
        <v>10</v>
      </c>
      <c r="T74" s="131">
        <f>T72+T73</f>
        <v>63648</v>
      </c>
      <c r="V74" s="150" t="s">
        <v>11</v>
      </c>
      <c r="W74" s="150">
        <f>'Bilan et CDR N'!G7</f>
        <v>159000</v>
      </c>
      <c r="X74" s="150">
        <f>'Bilan et CDR N'!H7+P31*0.75</f>
        <v>14125</v>
      </c>
      <c r="Y74" s="150">
        <f>W74-X74</f>
        <v>144875</v>
      </c>
      <c r="Z74" s="150" t="s">
        <v>12</v>
      </c>
      <c r="AA74" s="151">
        <f>'Bilan et CDR N'!K7+'Hyp | 2 ans + Crédit Bail'!P9</f>
        <v>80000</v>
      </c>
    </row>
    <row r="75" spans="2:27" x14ac:dyDescent="0.25">
      <c r="B75" s="59" t="s">
        <v>123</v>
      </c>
      <c r="C75" s="59">
        <f t="shared" ref="C75:N75" si="36">C74+C73</f>
        <v>78000</v>
      </c>
      <c r="D75" s="59">
        <f t="shared" si="36"/>
        <v>6364.8</v>
      </c>
      <c r="E75" s="59">
        <f t="shared" si="36"/>
        <v>36364.800000000003</v>
      </c>
      <c r="F75" s="59">
        <f t="shared" si="36"/>
        <v>6364.8</v>
      </c>
      <c r="G75" s="59">
        <f t="shared" si="36"/>
        <v>6364.8</v>
      </c>
      <c r="H75" s="59">
        <f t="shared" si="36"/>
        <v>7864.8</v>
      </c>
      <c r="I75" s="59">
        <f t="shared" si="36"/>
        <v>6364.8</v>
      </c>
      <c r="J75" s="59">
        <f t="shared" si="36"/>
        <v>6364.8</v>
      </c>
      <c r="K75" s="59">
        <f t="shared" si="36"/>
        <v>6364.8</v>
      </c>
      <c r="L75" s="59">
        <f t="shared" si="36"/>
        <v>6364.8</v>
      </c>
      <c r="M75" s="59">
        <f t="shared" si="36"/>
        <v>6364.8</v>
      </c>
      <c r="N75" s="59">
        <f t="shared" si="36"/>
        <v>6364.8</v>
      </c>
      <c r="O75" s="34"/>
      <c r="P75" s="34"/>
      <c r="S75" s="143" t="s">
        <v>70</v>
      </c>
      <c r="T75" s="21">
        <f>P14</f>
        <v>19094.400000000005</v>
      </c>
      <c r="V75" s="150" t="s">
        <v>14</v>
      </c>
      <c r="W75" s="150">
        <f>P52+'Bilan et CDR N'!G8</f>
        <v>55000</v>
      </c>
      <c r="X75" s="150">
        <f>'Bilan et CDR N'!H8+P31*0.25</f>
        <v>32475</v>
      </c>
      <c r="Y75" s="150">
        <f>W75-X75</f>
        <v>22525</v>
      </c>
      <c r="Z75" s="150" t="s">
        <v>15</v>
      </c>
      <c r="AA75" s="151">
        <f>'Bilan et CDR N'!K8</f>
        <v>5000</v>
      </c>
    </row>
    <row r="76" spans="2:27" x14ac:dyDescent="0.25">
      <c r="B76" s="39" t="s">
        <v>124</v>
      </c>
      <c r="C76" s="41">
        <f t="shared" ref="C76:N76" si="37">C17</f>
        <v>25409.439999999999</v>
      </c>
      <c r="D76" s="41">
        <f t="shared" si="37"/>
        <v>1909.44</v>
      </c>
      <c r="E76" s="41">
        <f t="shared" si="37"/>
        <v>1909.44</v>
      </c>
      <c r="F76" s="41">
        <f t="shared" si="37"/>
        <v>1909.44</v>
      </c>
      <c r="G76" s="41">
        <f t="shared" si="37"/>
        <v>1909.44</v>
      </c>
      <c r="H76" s="41">
        <f t="shared" si="37"/>
        <v>1909.44</v>
      </c>
      <c r="I76" s="41">
        <f t="shared" si="37"/>
        <v>1909.44</v>
      </c>
      <c r="J76" s="41">
        <f t="shared" si="37"/>
        <v>1909.44</v>
      </c>
      <c r="K76" s="41">
        <f t="shared" si="37"/>
        <v>1909.44</v>
      </c>
      <c r="L76" s="41">
        <f t="shared" si="37"/>
        <v>1909.44</v>
      </c>
      <c r="M76" s="41">
        <f t="shared" si="37"/>
        <v>1909.44</v>
      </c>
      <c r="N76" s="41">
        <f t="shared" si="37"/>
        <v>1909.44</v>
      </c>
      <c r="O76" s="34"/>
      <c r="P76" s="34"/>
      <c r="S76" s="143" t="s">
        <v>73</v>
      </c>
      <c r="T76" s="21">
        <f>P23+P25</f>
        <v>88896.428571428565</v>
      </c>
      <c r="V76" s="148"/>
      <c r="W76" s="148"/>
      <c r="X76" s="148"/>
      <c r="Y76" s="148"/>
      <c r="Z76" s="150" t="s">
        <v>17</v>
      </c>
      <c r="AA76" s="151">
        <f>'Bilan et CDR N'!K9+'Bilan et CDR N'!C23</f>
        <v>22728</v>
      </c>
    </row>
    <row r="77" spans="2:27" x14ac:dyDescent="0.25">
      <c r="B77" s="39" t="s">
        <v>125</v>
      </c>
      <c r="C77" s="41">
        <f>'Bilan et CDR N'!$K$16/12</f>
        <v>375</v>
      </c>
      <c r="D77" s="41">
        <f>'Bilan et CDR N'!$K$16/12</f>
        <v>375</v>
      </c>
      <c r="E77" s="41">
        <f>'Bilan et CDR N'!$K$16/12</f>
        <v>375</v>
      </c>
      <c r="F77" s="41">
        <f>'Bilan et CDR N'!$K$16/12</f>
        <v>375</v>
      </c>
      <c r="G77" s="41">
        <f>'Bilan et CDR N'!$K$16/12</f>
        <v>375</v>
      </c>
      <c r="H77" s="41">
        <f>'Bilan et CDR N'!$K$16/12</f>
        <v>375</v>
      </c>
      <c r="I77" s="41">
        <f>'Bilan et CDR N'!$K$16/12</f>
        <v>375</v>
      </c>
      <c r="J77" s="41">
        <f>'Bilan et CDR N'!$K$16/12</f>
        <v>375</v>
      </c>
      <c r="K77" s="41">
        <f>'Bilan et CDR N'!$K$16/12</f>
        <v>375</v>
      </c>
      <c r="L77" s="41">
        <f>'Bilan et CDR N'!$K$16/12</f>
        <v>375</v>
      </c>
      <c r="M77" s="41">
        <f>'Bilan et CDR N'!$K$16/12</f>
        <v>375</v>
      </c>
      <c r="N77" s="41">
        <f>'Bilan et CDR N'!$K$16/12</f>
        <v>375</v>
      </c>
      <c r="O77" s="34"/>
      <c r="P77" s="34"/>
      <c r="S77" s="143" t="s">
        <v>18</v>
      </c>
      <c r="T77" s="21">
        <f>P41</f>
        <v>8200</v>
      </c>
      <c r="V77" s="150"/>
      <c r="W77" s="150"/>
      <c r="X77" s="150"/>
      <c r="Y77" s="150"/>
      <c r="Z77" s="150" t="s">
        <v>19</v>
      </c>
      <c r="AA77" s="151">
        <f>T89</f>
        <v>-497593.64857142855</v>
      </c>
    </row>
    <row r="78" spans="2:27" x14ac:dyDescent="0.25">
      <c r="B78" s="39" t="s">
        <v>126</v>
      </c>
      <c r="C78" s="41">
        <f t="shared" ref="C78:N78" si="38">C33</f>
        <v>25625</v>
      </c>
      <c r="D78" s="41">
        <f t="shared" si="38"/>
        <v>25625</v>
      </c>
      <c r="E78" s="41">
        <f t="shared" si="38"/>
        <v>25625</v>
      </c>
      <c r="F78" s="41">
        <f t="shared" si="38"/>
        <v>25625</v>
      </c>
      <c r="G78" s="41">
        <f t="shared" si="38"/>
        <v>25625</v>
      </c>
      <c r="H78" s="41">
        <f t="shared" si="38"/>
        <v>25625</v>
      </c>
      <c r="I78" s="41">
        <f t="shared" si="38"/>
        <v>25625</v>
      </c>
      <c r="J78" s="41">
        <f t="shared" si="38"/>
        <v>25625</v>
      </c>
      <c r="K78" s="41">
        <f t="shared" si="38"/>
        <v>25625</v>
      </c>
      <c r="L78" s="41">
        <f t="shared" si="38"/>
        <v>25625</v>
      </c>
      <c r="M78" s="41">
        <f t="shared" si="38"/>
        <v>25625</v>
      </c>
      <c r="N78" s="41">
        <f t="shared" si="38"/>
        <v>25625</v>
      </c>
      <c r="O78" s="34"/>
      <c r="P78" s="34"/>
      <c r="S78" s="143" t="s">
        <v>20</v>
      </c>
      <c r="T78" s="21">
        <f>P33</f>
        <v>307500</v>
      </c>
      <c r="V78" s="152"/>
      <c r="W78" s="153"/>
      <c r="Y78" s="153"/>
      <c r="Z78" s="151"/>
      <c r="AA78" s="149"/>
    </row>
    <row r="79" spans="2:27" x14ac:dyDescent="0.25">
      <c r="B79" s="39" t="s">
        <v>21</v>
      </c>
      <c r="C79" s="41">
        <f t="shared" ref="C79:N79" si="39">C35</f>
        <v>16000</v>
      </c>
      <c r="D79" s="41">
        <f t="shared" si="39"/>
        <v>10250</v>
      </c>
      <c r="E79" s="41">
        <f t="shared" si="39"/>
        <v>10250</v>
      </c>
      <c r="F79" s="41">
        <f t="shared" si="39"/>
        <v>10250</v>
      </c>
      <c r="G79" s="41">
        <f t="shared" si="39"/>
        <v>10250</v>
      </c>
      <c r="H79" s="41">
        <f t="shared" si="39"/>
        <v>10250</v>
      </c>
      <c r="I79" s="41">
        <f t="shared" si="39"/>
        <v>10250</v>
      </c>
      <c r="J79" s="41">
        <f t="shared" si="39"/>
        <v>10250</v>
      </c>
      <c r="K79" s="41">
        <f t="shared" si="39"/>
        <v>10250</v>
      </c>
      <c r="L79" s="41">
        <f t="shared" si="39"/>
        <v>10250</v>
      </c>
      <c r="M79" s="41">
        <f t="shared" si="39"/>
        <v>10250</v>
      </c>
      <c r="N79" s="41">
        <f t="shared" si="39"/>
        <v>10250</v>
      </c>
      <c r="O79" s="34"/>
      <c r="P79" s="34"/>
      <c r="S79" s="143" t="s">
        <v>21</v>
      </c>
      <c r="T79" s="21">
        <f>P34</f>
        <v>123000</v>
      </c>
      <c r="V79" s="148" t="s">
        <v>22</v>
      </c>
      <c r="W79" s="148"/>
      <c r="X79" s="148"/>
      <c r="Y79" s="148"/>
      <c r="Z79" s="148" t="s">
        <v>23</v>
      </c>
      <c r="AA79" s="149"/>
    </row>
    <row r="80" spans="2:27" ht="30" x14ac:dyDescent="0.25">
      <c r="B80" s="39" t="s">
        <v>102</v>
      </c>
      <c r="C80" s="41">
        <f t="shared" ref="C80:N80" si="40">C42</f>
        <v>0</v>
      </c>
      <c r="D80" s="41">
        <f t="shared" si="40"/>
        <v>0</v>
      </c>
      <c r="E80" s="41">
        <f t="shared" si="40"/>
        <v>0</v>
      </c>
      <c r="F80" s="41">
        <f t="shared" si="40"/>
        <v>0</v>
      </c>
      <c r="G80" s="41">
        <f t="shared" si="40"/>
        <v>0</v>
      </c>
      <c r="H80" s="41">
        <f t="shared" si="40"/>
        <v>0</v>
      </c>
      <c r="I80" s="41">
        <f t="shared" si="40"/>
        <v>0</v>
      </c>
      <c r="J80" s="41">
        <f t="shared" si="40"/>
        <v>0</v>
      </c>
      <c r="K80" s="41">
        <f t="shared" si="40"/>
        <v>0</v>
      </c>
      <c r="L80" s="41">
        <f t="shared" si="40"/>
        <v>8200</v>
      </c>
      <c r="M80" s="41">
        <f t="shared" si="40"/>
        <v>0</v>
      </c>
      <c r="N80" s="41">
        <f t="shared" si="40"/>
        <v>0</v>
      </c>
      <c r="O80" s="34"/>
      <c r="P80" s="34"/>
      <c r="S80" s="143" t="s">
        <v>75</v>
      </c>
      <c r="T80" s="21">
        <f>P31</f>
        <v>7500</v>
      </c>
      <c r="V80" s="150" t="s">
        <v>25</v>
      </c>
      <c r="W80" s="150">
        <f>'Bilan et CDR N'!G13</f>
        <v>15000</v>
      </c>
      <c r="X80" s="150"/>
      <c r="Y80" s="150">
        <f>W80</f>
        <v>15000</v>
      </c>
      <c r="Z80" s="150" t="s">
        <v>26</v>
      </c>
      <c r="AA80" s="151">
        <f>'Bilan et CDR N'!K13-P44</f>
        <v>60000</v>
      </c>
    </row>
    <row r="81" spans="2:27" x14ac:dyDescent="0.25">
      <c r="B81" s="39" t="s">
        <v>127</v>
      </c>
      <c r="C81" s="41">
        <f t="shared" ref="C81:N81" si="41">C28</f>
        <v>8889.6428571428569</v>
      </c>
      <c r="D81" s="41">
        <f t="shared" si="41"/>
        <v>8889.6428571428569</v>
      </c>
      <c r="E81" s="41">
        <f t="shared" si="41"/>
        <v>8889.6428571428569</v>
      </c>
      <c r="F81" s="41">
        <f t="shared" si="41"/>
        <v>8889.6428571428569</v>
      </c>
      <c r="G81" s="41">
        <f t="shared" si="41"/>
        <v>8889.6428571428569</v>
      </c>
      <c r="H81" s="41">
        <f t="shared" si="41"/>
        <v>8889.6428571428569</v>
      </c>
      <c r="I81" s="41">
        <f t="shared" si="41"/>
        <v>8889.6428571428569</v>
      </c>
      <c r="J81" s="41">
        <f t="shared" si="41"/>
        <v>8889.6428571428569</v>
      </c>
      <c r="K81" s="41">
        <f t="shared" si="41"/>
        <v>8889.6428571428569</v>
      </c>
      <c r="L81" s="41">
        <f t="shared" si="41"/>
        <v>8889.6428571428569</v>
      </c>
      <c r="M81" s="41">
        <f t="shared" si="41"/>
        <v>8889.6428571428569</v>
      </c>
      <c r="N81" s="41">
        <f t="shared" si="41"/>
        <v>8889.6428571428569</v>
      </c>
      <c r="O81" s="34"/>
      <c r="P81" s="34"/>
      <c r="S81" s="144" t="s">
        <v>76</v>
      </c>
      <c r="T81" s="131">
        <f>SUM(T75:T80)</f>
        <v>554190.82857142854</v>
      </c>
      <c r="V81" s="150" t="s">
        <v>28</v>
      </c>
      <c r="W81" s="150">
        <f>P8</f>
        <v>6364.8</v>
      </c>
      <c r="X81" s="150"/>
      <c r="Y81" s="150">
        <f>W81</f>
        <v>6364.8</v>
      </c>
      <c r="Z81" s="150" t="s">
        <v>29</v>
      </c>
      <c r="AA81" s="151">
        <f>P17</f>
        <v>0</v>
      </c>
    </row>
    <row r="82" spans="2:27" x14ac:dyDescent="0.25">
      <c r="B82" s="39" t="s">
        <v>128</v>
      </c>
      <c r="C82" s="41">
        <f t="shared" ref="C82:N82" si="42">C46</f>
        <v>5350</v>
      </c>
      <c r="D82" s="41">
        <f t="shared" si="42"/>
        <v>5350</v>
      </c>
      <c r="E82" s="41">
        <f t="shared" si="42"/>
        <v>5350</v>
      </c>
      <c r="F82" s="41">
        <f t="shared" si="42"/>
        <v>5350</v>
      </c>
      <c r="G82" s="41">
        <f t="shared" si="42"/>
        <v>5350</v>
      </c>
      <c r="H82" s="41">
        <f t="shared" si="42"/>
        <v>5350</v>
      </c>
      <c r="I82" s="41">
        <f t="shared" si="42"/>
        <v>5350</v>
      </c>
      <c r="J82" s="41">
        <f t="shared" si="42"/>
        <v>5350</v>
      </c>
      <c r="K82" s="41">
        <f t="shared" si="42"/>
        <v>5350</v>
      </c>
      <c r="L82" s="41">
        <f t="shared" si="42"/>
        <v>5350</v>
      </c>
      <c r="M82" s="41">
        <f t="shared" si="42"/>
        <v>5350</v>
      </c>
      <c r="N82" s="41">
        <f t="shared" si="42"/>
        <v>5350</v>
      </c>
      <c r="O82" s="34"/>
      <c r="P82" s="34"/>
      <c r="S82" s="154" t="s">
        <v>30</v>
      </c>
      <c r="T82" s="155">
        <f>T74-T81</f>
        <v>-490542.82857142854</v>
      </c>
      <c r="V82" s="150" t="s">
        <v>34</v>
      </c>
      <c r="W82" s="150">
        <f>AE60</f>
        <v>-446529.4957142857</v>
      </c>
      <c r="X82" s="150"/>
      <c r="Y82" s="150">
        <f>W82</f>
        <v>-446529.4957142857</v>
      </c>
      <c r="Z82" s="150" t="s">
        <v>32</v>
      </c>
      <c r="AA82" s="151">
        <f>P67+P35</f>
        <v>9510.9528571428564</v>
      </c>
    </row>
    <row r="83" spans="2:27" x14ac:dyDescent="0.25">
      <c r="B83" s="39" t="s">
        <v>129</v>
      </c>
      <c r="C83" s="41">
        <f t="shared" ref="C83:N83" si="43">C54</f>
        <v>0</v>
      </c>
      <c r="D83" s="41">
        <f t="shared" si="43"/>
        <v>0</v>
      </c>
      <c r="E83" s="41">
        <f t="shared" si="43"/>
        <v>0</v>
      </c>
      <c r="F83" s="41">
        <f t="shared" si="43"/>
        <v>0</v>
      </c>
      <c r="G83" s="41">
        <f t="shared" si="43"/>
        <v>0</v>
      </c>
      <c r="H83" s="41">
        <f t="shared" si="43"/>
        <v>0</v>
      </c>
      <c r="I83" s="41">
        <f t="shared" si="43"/>
        <v>0</v>
      </c>
      <c r="J83" s="41">
        <f t="shared" si="43"/>
        <v>0</v>
      </c>
      <c r="K83" s="41">
        <f t="shared" si="43"/>
        <v>0</v>
      </c>
      <c r="L83" s="41">
        <f t="shared" si="43"/>
        <v>0</v>
      </c>
      <c r="M83" s="41">
        <f t="shared" si="43"/>
        <v>0</v>
      </c>
      <c r="N83" s="41">
        <f t="shared" si="43"/>
        <v>0</v>
      </c>
      <c r="O83" s="34"/>
      <c r="P83" s="34"/>
      <c r="S83" s="144" t="s">
        <v>33</v>
      </c>
      <c r="T83" s="131">
        <v>0</v>
      </c>
      <c r="V83" s="150"/>
      <c r="W83" s="150"/>
      <c r="X83" s="150"/>
      <c r="Y83" s="150"/>
      <c r="Z83" s="150" t="s">
        <v>221</v>
      </c>
      <c r="AA83" s="151">
        <f>SUM(T53:AE53)</f>
        <v>43568</v>
      </c>
    </row>
    <row r="84" spans="2:27" x14ac:dyDescent="0.25">
      <c r="B84" s="39" t="s">
        <v>130</v>
      </c>
      <c r="C84" s="41">
        <f t="shared" ref="C84:N84" si="44">C67</f>
        <v>15000</v>
      </c>
      <c r="D84" s="41">
        <f t="shared" si="44"/>
        <v>-739.04714285714294</v>
      </c>
      <c r="E84" s="41">
        <f t="shared" si="44"/>
        <v>-739.04714285714294</v>
      </c>
      <c r="F84" s="41">
        <f t="shared" si="44"/>
        <v>-739.04714285714294</v>
      </c>
      <c r="G84" s="41">
        <f t="shared" si="44"/>
        <v>-739.04714285714294</v>
      </c>
      <c r="H84" s="41">
        <f t="shared" si="44"/>
        <v>-739.04714285714294</v>
      </c>
      <c r="I84" s="41">
        <f t="shared" si="44"/>
        <v>-739.04714285714294</v>
      </c>
      <c r="J84" s="41">
        <f t="shared" si="44"/>
        <v>-739.04714285714294</v>
      </c>
      <c r="K84" s="41">
        <f t="shared" si="44"/>
        <v>-739.04714285714294</v>
      </c>
      <c r="L84" s="41">
        <f t="shared" si="44"/>
        <v>-739.04714285714294</v>
      </c>
      <c r="M84" s="41">
        <f t="shared" si="44"/>
        <v>-739.04714285714294</v>
      </c>
      <c r="N84" s="41">
        <f t="shared" si="44"/>
        <v>-739.04714285714294</v>
      </c>
      <c r="O84" s="34"/>
      <c r="P84" s="34"/>
      <c r="S84" s="143" t="s">
        <v>36</v>
      </c>
      <c r="T84" s="21">
        <f>P43+SUM(T56:AE56)</f>
        <v>7050.82</v>
      </c>
      <c r="V84" s="156" t="s">
        <v>38</v>
      </c>
      <c r="W84" s="156">
        <f>SUM(W74:W82)</f>
        <v>-211164.69571428571</v>
      </c>
      <c r="X84" s="156"/>
      <c r="Y84" s="156">
        <f>SUM(Y74:Y83)</f>
        <v>-257764.69571428571</v>
      </c>
      <c r="Z84" s="156" t="s">
        <v>39</v>
      </c>
      <c r="AA84" s="157">
        <f>SUM(AA74:AA83)</f>
        <v>-276786.69571428571</v>
      </c>
    </row>
    <row r="85" spans="2:27" x14ac:dyDescent="0.25">
      <c r="B85" s="59" t="s">
        <v>131</v>
      </c>
      <c r="C85" s="59">
        <f t="shared" ref="C85:N85" si="45">SUM(C76:C84)</f>
        <v>96649.082857142857</v>
      </c>
      <c r="D85" s="59">
        <f t="shared" si="45"/>
        <v>51660.035714285717</v>
      </c>
      <c r="E85" s="59">
        <f t="shared" si="45"/>
        <v>51660.035714285717</v>
      </c>
      <c r="F85" s="59">
        <f t="shared" si="45"/>
        <v>51660.035714285717</v>
      </c>
      <c r="G85" s="59">
        <f t="shared" si="45"/>
        <v>51660.035714285717</v>
      </c>
      <c r="H85" s="59">
        <f t="shared" si="45"/>
        <v>51660.035714285717</v>
      </c>
      <c r="I85" s="59">
        <f t="shared" si="45"/>
        <v>51660.035714285717</v>
      </c>
      <c r="J85" s="59">
        <f t="shared" si="45"/>
        <v>51660.035714285717</v>
      </c>
      <c r="K85" s="59">
        <f t="shared" si="45"/>
        <v>51660.035714285717</v>
      </c>
      <c r="L85" s="59">
        <f t="shared" si="45"/>
        <v>59860.035714285717</v>
      </c>
      <c r="M85" s="59">
        <f t="shared" si="45"/>
        <v>51660.035714285717</v>
      </c>
      <c r="N85" s="59">
        <f t="shared" si="45"/>
        <v>51660.035714285717</v>
      </c>
      <c r="O85" s="34"/>
      <c r="P85" s="34"/>
      <c r="S85" s="144" t="s">
        <v>37</v>
      </c>
      <c r="T85" s="131">
        <f>T84</f>
        <v>7050.82</v>
      </c>
      <c r="Z85" s="158" t="s">
        <v>42</v>
      </c>
      <c r="AA85" s="159">
        <f>Y84-AA84</f>
        <v>19022</v>
      </c>
    </row>
    <row r="86" spans="2:27" x14ac:dyDescent="0.25">
      <c r="B86" s="59" t="s">
        <v>132</v>
      </c>
      <c r="C86" s="59">
        <f>'Bilan et CDR N'!I16</f>
        <v>6350</v>
      </c>
      <c r="D86" s="59">
        <f t="shared" ref="D86:N86" si="46">C88</f>
        <v>-12299.082857142857</v>
      </c>
      <c r="E86" s="59">
        <f t="shared" si="46"/>
        <v>-57594.318571428572</v>
      </c>
      <c r="F86" s="59">
        <f t="shared" si="46"/>
        <v>-72889.554285714286</v>
      </c>
      <c r="G86" s="59">
        <f t="shared" si="46"/>
        <v>-118184.79000000001</v>
      </c>
      <c r="H86" s="59">
        <f t="shared" si="46"/>
        <v>-163480.02571428573</v>
      </c>
      <c r="I86" s="59">
        <f t="shared" si="46"/>
        <v>-207275.26142857145</v>
      </c>
      <c r="J86" s="59">
        <f t="shared" si="46"/>
        <v>-252570.49714285717</v>
      </c>
      <c r="K86" s="59">
        <f t="shared" si="46"/>
        <v>-297865.73285714287</v>
      </c>
      <c r="L86" s="59">
        <f t="shared" si="46"/>
        <v>-343160.96857142856</v>
      </c>
      <c r="M86" s="59">
        <f t="shared" si="46"/>
        <v>-396656.20428571425</v>
      </c>
      <c r="N86" s="59">
        <f t="shared" si="46"/>
        <v>-441951.43999999994</v>
      </c>
      <c r="O86" s="34"/>
      <c r="P86" s="34"/>
      <c r="S86" s="154" t="s">
        <v>40</v>
      </c>
      <c r="T86" s="155">
        <f>T83-T85</f>
        <v>-7050.82</v>
      </c>
    </row>
    <row r="87" spans="2:27" x14ac:dyDescent="0.25">
      <c r="B87" s="34" t="s">
        <v>133</v>
      </c>
      <c r="C87" s="34">
        <f t="shared" ref="C87:N87" si="47">C75-C85</f>
        <v>-18649.082857142857</v>
      </c>
      <c r="D87" s="34">
        <f t="shared" si="47"/>
        <v>-45295.235714285714</v>
      </c>
      <c r="E87" s="34">
        <f t="shared" si="47"/>
        <v>-15295.235714285714</v>
      </c>
      <c r="F87" s="34">
        <f t="shared" si="47"/>
        <v>-45295.235714285714</v>
      </c>
      <c r="G87" s="34">
        <f t="shared" si="47"/>
        <v>-45295.235714285714</v>
      </c>
      <c r="H87" s="34">
        <f t="shared" si="47"/>
        <v>-43795.235714285714</v>
      </c>
      <c r="I87" s="34">
        <f t="shared" si="47"/>
        <v>-45295.235714285714</v>
      </c>
      <c r="J87" s="34">
        <f t="shared" si="47"/>
        <v>-45295.235714285714</v>
      </c>
      <c r="K87" s="34">
        <f t="shared" si="47"/>
        <v>-45295.235714285714</v>
      </c>
      <c r="L87" s="34">
        <f t="shared" si="47"/>
        <v>-53495.235714285714</v>
      </c>
      <c r="M87" s="34">
        <f t="shared" si="47"/>
        <v>-45295.235714285714</v>
      </c>
      <c r="N87" s="34">
        <f t="shared" si="47"/>
        <v>-45295.235714285714</v>
      </c>
      <c r="O87" s="34"/>
      <c r="P87" s="34"/>
      <c r="S87" s="154" t="s">
        <v>43</v>
      </c>
      <c r="T87" s="155">
        <f>T82-(-T86)</f>
        <v>-497593.64857142855</v>
      </c>
    </row>
    <row r="88" spans="2:27" x14ac:dyDescent="0.25">
      <c r="B88" s="59" t="s">
        <v>134</v>
      </c>
      <c r="C88" s="59">
        <f t="shared" ref="C88:N88" si="48">C86+C87</f>
        <v>-12299.082857142857</v>
      </c>
      <c r="D88" s="59">
        <f t="shared" si="48"/>
        <v>-57594.318571428572</v>
      </c>
      <c r="E88" s="59">
        <f t="shared" si="48"/>
        <v>-72889.554285714286</v>
      </c>
      <c r="F88" s="59">
        <f t="shared" si="48"/>
        <v>-118184.79000000001</v>
      </c>
      <c r="G88" s="59">
        <f t="shared" si="48"/>
        <v>-163480.02571428573</v>
      </c>
      <c r="H88" s="59">
        <f t="shared" si="48"/>
        <v>-207275.26142857145</v>
      </c>
      <c r="I88" s="59">
        <f t="shared" si="48"/>
        <v>-252570.49714285717</v>
      </c>
      <c r="J88" s="59">
        <f t="shared" si="48"/>
        <v>-297865.73285714287</v>
      </c>
      <c r="K88" s="59">
        <f t="shared" si="48"/>
        <v>-343160.96857142856</v>
      </c>
      <c r="L88" s="59">
        <f t="shared" si="48"/>
        <v>-396656.20428571425</v>
      </c>
      <c r="M88" s="59">
        <f t="shared" si="48"/>
        <v>-441951.43999999994</v>
      </c>
      <c r="N88" s="59">
        <f t="shared" si="48"/>
        <v>-487246.67571428564</v>
      </c>
      <c r="O88" s="60" t="s">
        <v>135</v>
      </c>
      <c r="P88" s="61">
        <f>N88</f>
        <v>-487246.67571428564</v>
      </c>
      <c r="S88" s="154" t="s">
        <v>45</v>
      </c>
      <c r="T88" s="21"/>
    </row>
    <row r="89" spans="2:27" x14ac:dyDescent="0.25">
      <c r="S89" s="160" t="s">
        <v>47</v>
      </c>
      <c r="T89" s="161">
        <f>T87</f>
        <v>-497593.64857142855</v>
      </c>
    </row>
    <row r="92" spans="2:27" ht="28.5" x14ac:dyDescent="0.45">
      <c r="B92" s="289" t="s">
        <v>136</v>
      </c>
      <c r="C92" s="289"/>
      <c r="D92" s="289"/>
      <c r="E92" s="289"/>
      <c r="F92" s="289"/>
      <c r="G92" s="289"/>
      <c r="H92" s="289"/>
      <c r="I92" s="289"/>
      <c r="J92" s="289"/>
      <c r="K92" s="289"/>
      <c r="L92" s="289"/>
      <c r="M92" s="289"/>
      <c r="N92" s="289"/>
      <c r="O92" s="289"/>
      <c r="P92" s="289"/>
    </row>
    <row r="94" spans="2:27" ht="15" customHeight="1" x14ac:dyDescent="0.25"/>
    <row r="95" spans="2:27" x14ac:dyDescent="0.25">
      <c r="B95" s="288" t="s">
        <v>137</v>
      </c>
      <c r="C95" s="288"/>
      <c r="D95" s="288"/>
      <c r="E95" s="288"/>
      <c r="F95" s="288"/>
      <c r="G95" s="288"/>
      <c r="H95" s="288"/>
      <c r="I95" s="288"/>
      <c r="J95" s="288"/>
      <c r="K95" s="288"/>
      <c r="L95" s="288"/>
      <c r="M95" s="288"/>
      <c r="N95" s="288"/>
      <c r="O95" s="288"/>
      <c r="P95" s="288"/>
    </row>
    <row r="96" spans="2:27" x14ac:dyDescent="0.25">
      <c r="B96" s="213"/>
      <c r="C96" s="215" t="s">
        <v>50</v>
      </c>
      <c r="D96" s="215" t="s">
        <v>51</v>
      </c>
      <c r="E96" s="215" t="s">
        <v>52</v>
      </c>
      <c r="F96" s="215" t="s">
        <v>53</v>
      </c>
      <c r="G96" s="215" t="s">
        <v>54</v>
      </c>
      <c r="H96" s="215" t="s">
        <v>55</v>
      </c>
      <c r="I96" s="215" t="s">
        <v>56</v>
      </c>
      <c r="J96" s="215" t="s">
        <v>57</v>
      </c>
      <c r="K96" s="215" t="s">
        <v>58</v>
      </c>
      <c r="L96" s="215" t="s">
        <v>59</v>
      </c>
      <c r="M96" s="215" t="s">
        <v>60</v>
      </c>
      <c r="N96" s="215" t="s">
        <v>61</v>
      </c>
      <c r="O96" s="220" t="s">
        <v>62</v>
      </c>
      <c r="P96" s="221"/>
    </row>
    <row r="97" spans="2:16" x14ac:dyDescent="0.25">
      <c r="B97" s="214"/>
      <c r="C97" s="216"/>
      <c r="D97" s="216"/>
      <c r="E97" s="216"/>
      <c r="F97" s="216"/>
      <c r="G97" s="216"/>
      <c r="H97" s="216"/>
      <c r="I97" s="216"/>
      <c r="J97" s="216"/>
      <c r="K97" s="216"/>
      <c r="L97" s="216"/>
      <c r="M97" s="216"/>
      <c r="N97" s="216"/>
      <c r="O97" s="58" t="s">
        <v>64</v>
      </c>
      <c r="P97" s="58" t="s">
        <v>65</v>
      </c>
    </row>
    <row r="98" spans="2:16" x14ac:dyDescent="0.25">
      <c r="B98" s="35" t="s">
        <v>66</v>
      </c>
      <c r="C98" s="35">
        <f>$P$5*1.03/12</f>
        <v>5463.12</v>
      </c>
      <c r="D98" s="35">
        <f t="shared" ref="D98:N98" si="49">$P$5*1.03/12</f>
        <v>5463.12</v>
      </c>
      <c r="E98" s="35">
        <f t="shared" si="49"/>
        <v>5463.12</v>
      </c>
      <c r="F98" s="35">
        <f t="shared" si="49"/>
        <v>5463.12</v>
      </c>
      <c r="G98" s="35">
        <f t="shared" si="49"/>
        <v>5463.12</v>
      </c>
      <c r="H98" s="35">
        <f t="shared" si="49"/>
        <v>5463.12</v>
      </c>
      <c r="I98" s="35">
        <f t="shared" si="49"/>
        <v>5463.12</v>
      </c>
      <c r="J98" s="35">
        <f t="shared" si="49"/>
        <v>5463.12</v>
      </c>
      <c r="K98" s="35">
        <f t="shared" si="49"/>
        <v>5463.12</v>
      </c>
      <c r="L98" s="35">
        <f t="shared" si="49"/>
        <v>5463.12</v>
      </c>
      <c r="M98" s="35">
        <f t="shared" si="49"/>
        <v>5463.12</v>
      </c>
      <c r="N98" s="35">
        <f t="shared" si="49"/>
        <v>5463.12</v>
      </c>
      <c r="O98" s="60" t="s">
        <v>1</v>
      </c>
      <c r="P98" s="61">
        <f>SUM(C98:N98)</f>
        <v>65557.440000000017</v>
      </c>
    </row>
    <row r="99" spans="2:16" x14ac:dyDescent="0.25">
      <c r="B99" s="34" t="s">
        <v>68</v>
      </c>
      <c r="C99" s="34">
        <f t="shared" ref="C99:N99" si="50">C98*20%</f>
        <v>1092.624</v>
      </c>
      <c r="D99" s="34">
        <f t="shared" si="50"/>
        <v>1092.624</v>
      </c>
      <c r="E99" s="34">
        <f t="shared" si="50"/>
        <v>1092.624</v>
      </c>
      <c r="F99" s="34">
        <f t="shared" si="50"/>
        <v>1092.624</v>
      </c>
      <c r="G99" s="34">
        <f t="shared" si="50"/>
        <v>1092.624</v>
      </c>
      <c r="H99" s="34">
        <f t="shared" si="50"/>
        <v>1092.624</v>
      </c>
      <c r="I99" s="34">
        <f t="shared" si="50"/>
        <v>1092.624</v>
      </c>
      <c r="J99" s="34">
        <f t="shared" si="50"/>
        <v>1092.624</v>
      </c>
      <c r="K99" s="34">
        <f t="shared" si="50"/>
        <v>1092.624</v>
      </c>
      <c r="L99" s="34">
        <f t="shared" si="50"/>
        <v>1092.624</v>
      </c>
      <c r="M99" s="34">
        <f t="shared" si="50"/>
        <v>1092.624</v>
      </c>
      <c r="N99" s="34">
        <f t="shared" si="50"/>
        <v>1092.624</v>
      </c>
      <c r="O99" s="34"/>
      <c r="P99" s="34"/>
    </row>
    <row r="100" spans="2:16" x14ac:dyDescent="0.25">
      <c r="B100" s="34" t="s">
        <v>69</v>
      </c>
      <c r="C100" s="34">
        <f t="shared" ref="C100:N100" si="51">C98+C99</f>
        <v>6555.7439999999997</v>
      </c>
      <c r="D100" s="34">
        <f t="shared" si="51"/>
        <v>6555.7439999999997</v>
      </c>
      <c r="E100" s="34">
        <f t="shared" si="51"/>
        <v>6555.7439999999997</v>
      </c>
      <c r="F100" s="34">
        <f t="shared" si="51"/>
        <v>6555.7439999999997</v>
      </c>
      <c r="G100" s="34">
        <f t="shared" si="51"/>
        <v>6555.7439999999997</v>
      </c>
      <c r="H100" s="34">
        <f t="shared" si="51"/>
        <v>6555.7439999999997</v>
      </c>
      <c r="I100" s="34">
        <f t="shared" si="51"/>
        <v>6555.7439999999997</v>
      </c>
      <c r="J100" s="34">
        <f t="shared" si="51"/>
        <v>6555.7439999999997</v>
      </c>
      <c r="K100" s="34">
        <f t="shared" si="51"/>
        <v>6555.7439999999997</v>
      </c>
      <c r="L100" s="34">
        <f t="shared" si="51"/>
        <v>6555.7439999999997</v>
      </c>
      <c r="M100" s="34">
        <f t="shared" si="51"/>
        <v>6555.7439999999997</v>
      </c>
      <c r="N100" s="34">
        <f t="shared" si="51"/>
        <v>6555.7439999999997</v>
      </c>
      <c r="O100" s="34"/>
      <c r="P100" s="34"/>
    </row>
    <row r="101" spans="2:16" x14ac:dyDescent="0.25">
      <c r="B101" s="59" t="s">
        <v>139</v>
      </c>
      <c r="C101" s="59">
        <f>P8</f>
        <v>6364.8</v>
      </c>
      <c r="D101" s="59">
        <f>C100</f>
        <v>6555.7439999999997</v>
      </c>
      <c r="E101" s="59">
        <f t="shared" ref="E101:N101" si="52">D100</f>
        <v>6555.7439999999997</v>
      </c>
      <c r="F101" s="59">
        <f t="shared" si="52"/>
        <v>6555.7439999999997</v>
      </c>
      <c r="G101" s="59">
        <f t="shared" si="52"/>
        <v>6555.7439999999997</v>
      </c>
      <c r="H101" s="59">
        <f t="shared" si="52"/>
        <v>6555.7439999999997</v>
      </c>
      <c r="I101" s="59">
        <f t="shared" si="52"/>
        <v>6555.7439999999997</v>
      </c>
      <c r="J101" s="59">
        <f t="shared" si="52"/>
        <v>6555.7439999999997</v>
      </c>
      <c r="K101" s="59">
        <f t="shared" si="52"/>
        <v>6555.7439999999997</v>
      </c>
      <c r="L101" s="59">
        <f t="shared" si="52"/>
        <v>6555.7439999999997</v>
      </c>
      <c r="M101" s="59">
        <f t="shared" si="52"/>
        <v>6555.7439999999997</v>
      </c>
      <c r="N101" s="59">
        <f t="shared" si="52"/>
        <v>6555.7439999999997</v>
      </c>
      <c r="O101" s="60" t="s">
        <v>72</v>
      </c>
      <c r="P101" s="61">
        <f>N100</f>
        <v>6555.7439999999997</v>
      </c>
    </row>
    <row r="104" spans="2:16" x14ac:dyDescent="0.25">
      <c r="B104" s="288" t="s">
        <v>140</v>
      </c>
      <c r="C104" s="288"/>
      <c r="D104" s="288"/>
      <c r="E104" s="288"/>
      <c r="F104" s="288"/>
      <c r="G104" s="288"/>
      <c r="H104" s="288"/>
      <c r="I104" s="288"/>
      <c r="J104" s="288"/>
      <c r="K104" s="288"/>
      <c r="L104" s="288"/>
      <c r="M104" s="288"/>
      <c r="N104" s="288"/>
      <c r="O104" s="288"/>
      <c r="P104" s="288"/>
    </row>
    <row r="105" spans="2:16" x14ac:dyDescent="0.25">
      <c r="B105" s="213"/>
      <c r="C105" s="215" t="s">
        <v>50</v>
      </c>
      <c r="D105" s="215" t="s">
        <v>51</v>
      </c>
      <c r="E105" s="215" t="s">
        <v>52</v>
      </c>
      <c r="F105" s="215" t="s">
        <v>53</v>
      </c>
      <c r="G105" s="215" t="s">
        <v>54</v>
      </c>
      <c r="H105" s="215" t="s">
        <v>55</v>
      </c>
      <c r="I105" s="215" t="s">
        <v>56</v>
      </c>
      <c r="J105" s="215" t="s">
        <v>57</v>
      </c>
      <c r="K105" s="215" t="s">
        <v>58</v>
      </c>
      <c r="L105" s="215" t="s">
        <v>59</v>
      </c>
      <c r="M105" s="215" t="s">
        <v>60</v>
      </c>
      <c r="N105" s="215" t="s">
        <v>61</v>
      </c>
      <c r="O105" s="220" t="s">
        <v>62</v>
      </c>
      <c r="P105" s="221"/>
    </row>
    <row r="106" spans="2:16" x14ac:dyDescent="0.25">
      <c r="B106" s="214"/>
      <c r="C106" s="216"/>
      <c r="D106" s="216"/>
      <c r="E106" s="216"/>
      <c r="F106" s="216"/>
      <c r="G106" s="216"/>
      <c r="H106" s="216"/>
      <c r="I106" s="216"/>
      <c r="J106" s="216"/>
      <c r="K106" s="216"/>
      <c r="L106" s="216"/>
      <c r="M106" s="216"/>
      <c r="N106" s="216"/>
      <c r="O106" s="58" t="s">
        <v>64</v>
      </c>
      <c r="P106" s="58" t="s">
        <v>65</v>
      </c>
    </row>
    <row r="107" spans="2:16" x14ac:dyDescent="0.25">
      <c r="B107" s="35" t="s">
        <v>77</v>
      </c>
      <c r="C107" s="35">
        <f t="shared" ref="C107:N107" si="53">C98*32%</f>
        <v>1748.1984</v>
      </c>
      <c r="D107" s="35">
        <f t="shared" si="53"/>
        <v>1748.1984</v>
      </c>
      <c r="E107" s="35">
        <f t="shared" si="53"/>
        <v>1748.1984</v>
      </c>
      <c r="F107" s="35">
        <f t="shared" si="53"/>
        <v>1748.1984</v>
      </c>
      <c r="G107" s="35">
        <f t="shared" si="53"/>
        <v>1748.1984</v>
      </c>
      <c r="H107" s="35">
        <f t="shared" si="53"/>
        <v>1748.1984</v>
      </c>
      <c r="I107" s="35">
        <f t="shared" si="53"/>
        <v>1748.1984</v>
      </c>
      <c r="J107" s="35">
        <f t="shared" si="53"/>
        <v>1748.1984</v>
      </c>
      <c r="K107" s="35">
        <f t="shared" si="53"/>
        <v>1748.1984</v>
      </c>
      <c r="L107" s="35">
        <f t="shared" si="53"/>
        <v>1748.1984</v>
      </c>
      <c r="M107" s="35">
        <f t="shared" si="53"/>
        <v>1748.1984</v>
      </c>
      <c r="N107" s="35">
        <f t="shared" si="53"/>
        <v>1748.1984</v>
      </c>
      <c r="O107" s="60" t="s">
        <v>78</v>
      </c>
      <c r="P107" s="61">
        <f>SUM(C107:N107)</f>
        <v>20978.380799999999</v>
      </c>
    </row>
    <row r="108" spans="2:16" x14ac:dyDescent="0.25">
      <c r="B108" s="34" t="s">
        <v>79</v>
      </c>
      <c r="C108" s="34">
        <f t="shared" ref="C108:N108" si="54">C107*20%</f>
        <v>349.63968</v>
      </c>
      <c r="D108" s="34">
        <f t="shared" si="54"/>
        <v>349.63968</v>
      </c>
      <c r="E108" s="34">
        <f t="shared" si="54"/>
        <v>349.63968</v>
      </c>
      <c r="F108" s="34">
        <f t="shared" si="54"/>
        <v>349.63968</v>
      </c>
      <c r="G108" s="34">
        <f t="shared" si="54"/>
        <v>349.63968</v>
      </c>
      <c r="H108" s="34">
        <f t="shared" si="54"/>
        <v>349.63968</v>
      </c>
      <c r="I108" s="34">
        <f t="shared" si="54"/>
        <v>349.63968</v>
      </c>
      <c r="J108" s="34">
        <f t="shared" si="54"/>
        <v>349.63968</v>
      </c>
      <c r="K108" s="34">
        <f t="shared" si="54"/>
        <v>349.63968</v>
      </c>
      <c r="L108" s="34">
        <f t="shared" si="54"/>
        <v>349.63968</v>
      </c>
      <c r="M108" s="34">
        <f t="shared" si="54"/>
        <v>349.63968</v>
      </c>
      <c r="N108" s="34">
        <f t="shared" si="54"/>
        <v>349.63968</v>
      </c>
      <c r="O108" s="34"/>
      <c r="P108" s="34"/>
    </row>
    <row r="109" spans="2:16" x14ac:dyDescent="0.25">
      <c r="B109" s="34" t="s">
        <v>80</v>
      </c>
      <c r="C109" s="34">
        <f t="shared" ref="C109:N109" si="55">C107+C108</f>
        <v>2097.83808</v>
      </c>
      <c r="D109" s="34">
        <f t="shared" si="55"/>
        <v>2097.83808</v>
      </c>
      <c r="E109" s="34">
        <f t="shared" si="55"/>
        <v>2097.83808</v>
      </c>
      <c r="F109" s="34">
        <f t="shared" si="55"/>
        <v>2097.83808</v>
      </c>
      <c r="G109" s="34">
        <f t="shared" si="55"/>
        <v>2097.83808</v>
      </c>
      <c r="H109" s="34">
        <f t="shared" si="55"/>
        <v>2097.83808</v>
      </c>
      <c r="I109" s="34">
        <f t="shared" si="55"/>
        <v>2097.83808</v>
      </c>
      <c r="J109" s="34">
        <f t="shared" si="55"/>
        <v>2097.83808</v>
      </c>
      <c r="K109" s="34">
        <f t="shared" si="55"/>
        <v>2097.83808</v>
      </c>
      <c r="L109" s="34">
        <f t="shared" si="55"/>
        <v>2097.83808</v>
      </c>
      <c r="M109" s="34">
        <f t="shared" si="55"/>
        <v>2097.83808</v>
      </c>
      <c r="N109" s="34">
        <f t="shared" si="55"/>
        <v>2097.83808</v>
      </c>
      <c r="O109" s="34"/>
      <c r="P109" s="34"/>
    </row>
    <row r="110" spans="2:16" x14ac:dyDescent="0.25">
      <c r="B110" s="59" t="s">
        <v>81</v>
      </c>
      <c r="C110" s="59">
        <f t="shared" ref="C110:N110" si="56">C109</f>
        <v>2097.83808</v>
      </c>
      <c r="D110" s="59">
        <f t="shared" si="56"/>
        <v>2097.83808</v>
      </c>
      <c r="E110" s="59">
        <f t="shared" si="56"/>
        <v>2097.83808</v>
      </c>
      <c r="F110" s="59">
        <f t="shared" si="56"/>
        <v>2097.83808</v>
      </c>
      <c r="G110" s="59">
        <f t="shared" si="56"/>
        <v>2097.83808</v>
      </c>
      <c r="H110" s="59">
        <f t="shared" si="56"/>
        <v>2097.83808</v>
      </c>
      <c r="I110" s="59">
        <f t="shared" si="56"/>
        <v>2097.83808</v>
      </c>
      <c r="J110" s="59">
        <f t="shared" si="56"/>
        <v>2097.83808</v>
      </c>
      <c r="K110" s="59">
        <f t="shared" si="56"/>
        <v>2097.83808</v>
      </c>
      <c r="L110" s="59">
        <f t="shared" si="56"/>
        <v>2097.83808</v>
      </c>
      <c r="M110" s="59">
        <f t="shared" si="56"/>
        <v>2097.83808</v>
      </c>
      <c r="N110" s="59">
        <f t="shared" si="56"/>
        <v>2097.83808</v>
      </c>
      <c r="O110" s="60" t="s">
        <v>82</v>
      </c>
      <c r="P110" s="61">
        <v>0</v>
      </c>
    </row>
    <row r="113" spans="2:16" x14ac:dyDescent="0.25">
      <c r="B113" s="288" t="s">
        <v>142</v>
      </c>
      <c r="C113" s="288"/>
      <c r="D113" s="288"/>
      <c r="E113" s="288"/>
      <c r="F113" s="288"/>
      <c r="G113" s="288"/>
      <c r="H113" s="288"/>
      <c r="I113" s="288"/>
      <c r="J113" s="288"/>
      <c r="K113" s="288"/>
      <c r="L113" s="288"/>
      <c r="M113" s="288"/>
      <c r="N113" s="288"/>
      <c r="O113" s="288"/>
      <c r="P113" s="288"/>
    </row>
    <row r="114" spans="2:16" x14ac:dyDescent="0.25">
      <c r="B114" s="213"/>
      <c r="C114" s="215" t="s">
        <v>50</v>
      </c>
      <c r="D114" s="215" t="s">
        <v>51</v>
      </c>
      <c r="E114" s="215" t="s">
        <v>52</v>
      </c>
      <c r="F114" s="215" t="s">
        <v>53</v>
      </c>
      <c r="G114" s="215" t="s">
        <v>54</v>
      </c>
      <c r="H114" s="215" t="s">
        <v>55</v>
      </c>
      <c r="I114" s="215" t="s">
        <v>56</v>
      </c>
      <c r="J114" s="215" t="s">
        <v>57</v>
      </c>
      <c r="K114" s="215" t="s">
        <v>58</v>
      </c>
      <c r="L114" s="215" t="s">
        <v>59</v>
      </c>
      <c r="M114" s="215" t="s">
        <v>60</v>
      </c>
      <c r="N114" s="215" t="s">
        <v>61</v>
      </c>
      <c r="O114" s="220" t="s">
        <v>62</v>
      </c>
      <c r="P114" s="221"/>
    </row>
    <row r="115" spans="2:16" x14ac:dyDescent="0.25">
      <c r="B115" s="214"/>
      <c r="C115" s="216"/>
      <c r="D115" s="216"/>
      <c r="E115" s="216"/>
      <c r="F115" s="216"/>
      <c r="G115" s="216"/>
      <c r="H115" s="216"/>
      <c r="I115" s="216"/>
      <c r="J115" s="216"/>
      <c r="K115" s="216"/>
      <c r="L115" s="216"/>
      <c r="M115" s="216"/>
      <c r="N115" s="216"/>
      <c r="O115" s="58" t="s">
        <v>64</v>
      </c>
      <c r="P115" s="58" t="s">
        <v>65</v>
      </c>
    </row>
    <row r="116" spans="2:16" x14ac:dyDescent="0.25">
      <c r="B116" s="21" t="s">
        <v>84</v>
      </c>
      <c r="C116" s="21">
        <v>7100</v>
      </c>
      <c r="D116" s="21">
        <v>7100</v>
      </c>
      <c r="E116" s="21">
        <v>7100</v>
      </c>
      <c r="F116" s="21">
        <v>7100</v>
      </c>
      <c r="G116" s="21">
        <v>7100</v>
      </c>
      <c r="H116" s="21">
        <v>7100</v>
      </c>
      <c r="I116" s="21">
        <v>7100</v>
      </c>
      <c r="J116" s="21">
        <v>7100</v>
      </c>
      <c r="K116" s="21">
        <v>7100</v>
      </c>
      <c r="L116" s="21">
        <v>7100</v>
      </c>
      <c r="M116" s="21">
        <v>7100</v>
      </c>
      <c r="N116" s="22">
        <v>7100</v>
      </c>
      <c r="O116" s="60" t="s">
        <v>85</v>
      </c>
      <c r="P116" s="61">
        <f>SUM(C116:N116)</f>
        <v>85200</v>
      </c>
    </row>
    <row r="117" spans="2:16" x14ac:dyDescent="0.25">
      <c r="B117" s="21" t="s">
        <v>86</v>
      </c>
      <c r="C117" s="21">
        <f t="shared" ref="C117:N117" si="57">C116*20%</f>
        <v>1420</v>
      </c>
      <c r="D117" s="21">
        <f t="shared" si="57"/>
        <v>1420</v>
      </c>
      <c r="E117" s="21">
        <f t="shared" si="57"/>
        <v>1420</v>
      </c>
      <c r="F117" s="21">
        <f t="shared" si="57"/>
        <v>1420</v>
      </c>
      <c r="G117" s="21">
        <f t="shared" si="57"/>
        <v>1420</v>
      </c>
      <c r="H117" s="21">
        <f t="shared" si="57"/>
        <v>1420</v>
      </c>
      <c r="I117" s="21">
        <f t="shared" si="57"/>
        <v>1420</v>
      </c>
      <c r="J117" s="21">
        <f t="shared" si="57"/>
        <v>1420</v>
      </c>
      <c r="K117" s="21">
        <f t="shared" si="57"/>
        <v>1420</v>
      </c>
      <c r="L117" s="21">
        <f t="shared" si="57"/>
        <v>1420</v>
      </c>
      <c r="M117" s="21">
        <f t="shared" si="57"/>
        <v>1420</v>
      </c>
      <c r="N117" s="22">
        <f t="shared" si="57"/>
        <v>1420</v>
      </c>
      <c r="O117" s="47"/>
      <c r="P117" s="48"/>
    </row>
    <row r="118" spans="2:16" x14ac:dyDescent="0.25">
      <c r="B118" s="142" t="s">
        <v>223</v>
      </c>
      <c r="C118" s="21">
        <f>$P$118/12</f>
        <v>308.03571428571428</v>
      </c>
      <c r="D118" s="21">
        <f t="shared" ref="D118:N118" si="58">$P$118/12</f>
        <v>308.03571428571428</v>
      </c>
      <c r="E118" s="21">
        <f t="shared" si="58"/>
        <v>308.03571428571428</v>
      </c>
      <c r="F118" s="21">
        <f t="shared" si="58"/>
        <v>308.03571428571428</v>
      </c>
      <c r="G118" s="21">
        <f t="shared" si="58"/>
        <v>308.03571428571428</v>
      </c>
      <c r="H118" s="21">
        <f t="shared" si="58"/>
        <v>308.03571428571428</v>
      </c>
      <c r="I118" s="21">
        <f t="shared" si="58"/>
        <v>308.03571428571428</v>
      </c>
      <c r="J118" s="21">
        <f t="shared" si="58"/>
        <v>308.03571428571428</v>
      </c>
      <c r="K118" s="21">
        <f t="shared" si="58"/>
        <v>308.03571428571428</v>
      </c>
      <c r="L118" s="21">
        <f t="shared" si="58"/>
        <v>308.03571428571428</v>
      </c>
      <c r="M118" s="21">
        <f t="shared" si="58"/>
        <v>308.03571428571428</v>
      </c>
      <c r="N118" s="21">
        <f t="shared" si="58"/>
        <v>308.03571428571428</v>
      </c>
      <c r="O118" s="61" t="s">
        <v>224</v>
      </c>
      <c r="P118" s="196">
        <f>Emprunt!S5</f>
        <v>3696.4285714285711</v>
      </c>
    </row>
    <row r="119" spans="2:16" x14ac:dyDescent="0.25">
      <c r="B119" s="142" t="s">
        <v>229</v>
      </c>
      <c r="C119" s="21"/>
      <c r="D119" s="21"/>
      <c r="E119" s="21"/>
      <c r="F119" s="21"/>
      <c r="G119" s="21"/>
      <c r="H119" s="21">
        <f>$P$119/7</f>
        <v>162.91666666666669</v>
      </c>
      <c r="I119" s="21">
        <f t="shared" ref="I119:N119" si="59">$P$119/7</f>
        <v>162.91666666666669</v>
      </c>
      <c r="J119" s="21">
        <f t="shared" si="59"/>
        <v>162.91666666666669</v>
      </c>
      <c r="K119" s="21">
        <f t="shared" si="59"/>
        <v>162.91666666666669</v>
      </c>
      <c r="L119" s="21">
        <f t="shared" si="59"/>
        <v>162.91666666666669</v>
      </c>
      <c r="M119" s="21">
        <f t="shared" si="59"/>
        <v>162.91666666666669</v>
      </c>
      <c r="N119" s="21">
        <f t="shared" si="59"/>
        <v>162.91666666666669</v>
      </c>
      <c r="O119" s="61" t="s">
        <v>230</v>
      </c>
      <c r="P119" s="196">
        <f>Emprunt!S14</f>
        <v>1140.4166666666667</v>
      </c>
    </row>
    <row r="120" spans="2:16" x14ac:dyDescent="0.25">
      <c r="B120" s="34" t="s">
        <v>225</v>
      </c>
      <c r="C120" s="21">
        <f>SUM(C118:C119)*0.2</f>
        <v>61.607142857142861</v>
      </c>
      <c r="D120" s="21">
        <f t="shared" ref="D120:N120" si="60">SUM(D118:D119)*0.2</f>
        <v>61.607142857142861</v>
      </c>
      <c r="E120" s="21">
        <f t="shared" si="60"/>
        <v>61.607142857142861</v>
      </c>
      <c r="F120" s="21">
        <f t="shared" si="60"/>
        <v>61.607142857142861</v>
      </c>
      <c r="G120" s="21">
        <f t="shared" si="60"/>
        <v>61.607142857142861</v>
      </c>
      <c r="H120" s="21">
        <f t="shared" si="60"/>
        <v>94.190476190476204</v>
      </c>
      <c r="I120" s="21">
        <f t="shared" si="60"/>
        <v>94.190476190476204</v>
      </c>
      <c r="J120" s="21">
        <f t="shared" si="60"/>
        <v>94.190476190476204</v>
      </c>
      <c r="K120" s="21">
        <f t="shared" si="60"/>
        <v>94.190476190476204</v>
      </c>
      <c r="L120" s="21">
        <f t="shared" si="60"/>
        <v>94.190476190476204</v>
      </c>
      <c r="M120" s="21">
        <f t="shared" si="60"/>
        <v>94.190476190476204</v>
      </c>
      <c r="N120" s="21">
        <f t="shared" si="60"/>
        <v>94.190476190476204</v>
      </c>
      <c r="O120" s="163"/>
      <c r="P120" s="48"/>
    </row>
    <row r="121" spans="2:16" x14ac:dyDescent="0.25">
      <c r="B121" s="139" t="s">
        <v>87</v>
      </c>
      <c r="C121" s="139">
        <f>SUM(C116:C120)</f>
        <v>8889.6428571428569</v>
      </c>
      <c r="D121" s="139">
        <f t="shared" ref="D121:N121" si="61">SUM(D116:D120)</f>
        <v>8889.6428571428569</v>
      </c>
      <c r="E121" s="139">
        <f t="shared" si="61"/>
        <v>8889.6428571428569</v>
      </c>
      <c r="F121" s="139">
        <f t="shared" si="61"/>
        <v>8889.6428571428569</v>
      </c>
      <c r="G121" s="139">
        <f t="shared" si="61"/>
        <v>8889.6428571428569</v>
      </c>
      <c r="H121" s="139">
        <f t="shared" si="61"/>
        <v>9085.1428571428569</v>
      </c>
      <c r="I121" s="139">
        <f t="shared" si="61"/>
        <v>9085.1428571428569</v>
      </c>
      <c r="J121" s="139">
        <f t="shared" si="61"/>
        <v>9085.1428571428569</v>
      </c>
      <c r="K121" s="139">
        <f t="shared" si="61"/>
        <v>9085.1428571428569</v>
      </c>
      <c r="L121" s="139">
        <f t="shared" si="61"/>
        <v>9085.1428571428569</v>
      </c>
      <c r="M121" s="139">
        <f t="shared" si="61"/>
        <v>9085.1428571428569</v>
      </c>
      <c r="N121" s="139">
        <f t="shared" si="61"/>
        <v>9085.1428571428569</v>
      </c>
      <c r="O121" s="34"/>
      <c r="P121" s="34"/>
    </row>
    <row r="122" spans="2:16" x14ac:dyDescent="0.25">
      <c r="B122" s="59" t="s">
        <v>81</v>
      </c>
      <c r="C122" s="59">
        <f>C121</f>
        <v>8889.6428571428569</v>
      </c>
      <c r="D122" s="59">
        <f t="shared" ref="D122:N122" si="62">D121</f>
        <v>8889.6428571428569</v>
      </c>
      <c r="E122" s="59">
        <f t="shared" si="62"/>
        <v>8889.6428571428569</v>
      </c>
      <c r="F122" s="59">
        <f t="shared" si="62"/>
        <v>8889.6428571428569</v>
      </c>
      <c r="G122" s="59">
        <f t="shared" si="62"/>
        <v>8889.6428571428569</v>
      </c>
      <c r="H122" s="59">
        <f t="shared" si="62"/>
        <v>9085.1428571428569</v>
      </c>
      <c r="I122" s="59">
        <f t="shared" si="62"/>
        <v>9085.1428571428569</v>
      </c>
      <c r="J122" s="59">
        <f t="shared" si="62"/>
        <v>9085.1428571428569</v>
      </c>
      <c r="K122" s="59">
        <f t="shared" si="62"/>
        <v>9085.1428571428569</v>
      </c>
      <c r="L122" s="59">
        <f t="shared" si="62"/>
        <v>9085.1428571428569</v>
      </c>
      <c r="M122" s="59">
        <f t="shared" si="62"/>
        <v>9085.1428571428569</v>
      </c>
      <c r="N122" s="59">
        <f t="shared" si="62"/>
        <v>9085.1428571428569</v>
      </c>
      <c r="O122" s="47"/>
      <c r="P122" s="34"/>
    </row>
    <row r="123" spans="2:16" x14ac:dyDescent="0.25">
      <c r="B123" s="28" t="s">
        <v>89</v>
      </c>
      <c r="C123" s="21"/>
      <c r="D123" s="21"/>
      <c r="E123" s="21"/>
      <c r="F123" s="21"/>
      <c r="G123" s="21"/>
      <c r="H123" s="21"/>
      <c r="I123" s="21"/>
      <c r="J123" s="21"/>
      <c r="K123" s="21"/>
      <c r="L123" s="21"/>
      <c r="M123" s="21"/>
      <c r="N123" s="22">
        <v>7500</v>
      </c>
      <c r="O123" s="47"/>
      <c r="P123" s="48"/>
    </row>
    <row r="124" spans="2:16" x14ac:dyDescent="0.25">
      <c r="B124" s="59" t="s">
        <v>94</v>
      </c>
      <c r="C124" s="59">
        <f>C123</f>
        <v>0</v>
      </c>
      <c r="D124" s="59">
        <f t="shared" ref="D124:N124" si="63">D123</f>
        <v>0</v>
      </c>
      <c r="E124" s="59">
        <f t="shared" si="63"/>
        <v>0</v>
      </c>
      <c r="F124" s="59">
        <f t="shared" si="63"/>
        <v>0</v>
      </c>
      <c r="G124" s="59">
        <f t="shared" si="63"/>
        <v>0</v>
      </c>
      <c r="H124" s="59">
        <f t="shared" si="63"/>
        <v>0</v>
      </c>
      <c r="I124" s="59">
        <f t="shared" si="63"/>
        <v>0</v>
      </c>
      <c r="J124" s="59">
        <f t="shared" si="63"/>
        <v>0</v>
      </c>
      <c r="K124" s="59">
        <f t="shared" si="63"/>
        <v>0</v>
      </c>
      <c r="L124" s="59">
        <f t="shared" si="63"/>
        <v>0</v>
      </c>
      <c r="M124" s="59">
        <f t="shared" si="63"/>
        <v>0</v>
      </c>
      <c r="N124" s="59">
        <f t="shared" si="63"/>
        <v>7500</v>
      </c>
      <c r="O124" s="60" t="s">
        <v>93</v>
      </c>
      <c r="P124" s="61">
        <f>SUM(C124:N124)</f>
        <v>7500</v>
      </c>
    </row>
    <row r="125" spans="2:16" x14ac:dyDescent="0.25">
      <c r="B125" s="21" t="s">
        <v>95</v>
      </c>
      <c r="C125" s="21">
        <f t="shared" ref="C125:N125" si="64">307500/12</f>
        <v>25625</v>
      </c>
      <c r="D125" s="21">
        <f t="shared" si="64"/>
        <v>25625</v>
      </c>
      <c r="E125" s="21">
        <f t="shared" si="64"/>
        <v>25625</v>
      </c>
      <c r="F125" s="21">
        <f t="shared" si="64"/>
        <v>25625</v>
      </c>
      <c r="G125" s="21">
        <f t="shared" si="64"/>
        <v>25625</v>
      </c>
      <c r="H125" s="21">
        <f t="shared" si="64"/>
        <v>25625</v>
      </c>
      <c r="I125" s="21">
        <f t="shared" si="64"/>
        <v>25625</v>
      </c>
      <c r="J125" s="21">
        <f t="shared" si="64"/>
        <v>25625</v>
      </c>
      <c r="K125" s="21">
        <f t="shared" si="64"/>
        <v>25625</v>
      </c>
      <c r="L125" s="21">
        <f t="shared" si="64"/>
        <v>25625</v>
      </c>
      <c r="M125" s="21">
        <f t="shared" si="64"/>
        <v>25625</v>
      </c>
      <c r="N125" s="22">
        <f t="shared" si="64"/>
        <v>25625</v>
      </c>
      <c r="O125" s="47"/>
      <c r="P125" s="48"/>
    </row>
    <row r="126" spans="2:16" x14ac:dyDescent="0.25">
      <c r="B126" s="59" t="s">
        <v>96</v>
      </c>
      <c r="C126" s="59">
        <f t="shared" ref="C126:N126" si="65">C125</f>
        <v>25625</v>
      </c>
      <c r="D126" s="59">
        <f t="shared" si="65"/>
        <v>25625</v>
      </c>
      <c r="E126" s="59">
        <f t="shared" si="65"/>
        <v>25625</v>
      </c>
      <c r="F126" s="59">
        <f t="shared" si="65"/>
        <v>25625</v>
      </c>
      <c r="G126" s="59">
        <f t="shared" si="65"/>
        <v>25625</v>
      </c>
      <c r="H126" s="59">
        <f t="shared" si="65"/>
        <v>25625</v>
      </c>
      <c r="I126" s="59">
        <f t="shared" si="65"/>
        <v>25625</v>
      </c>
      <c r="J126" s="59">
        <f t="shared" si="65"/>
        <v>25625</v>
      </c>
      <c r="K126" s="59">
        <f t="shared" si="65"/>
        <v>25625</v>
      </c>
      <c r="L126" s="59">
        <f t="shared" si="65"/>
        <v>25625</v>
      </c>
      <c r="M126" s="59">
        <f t="shared" si="65"/>
        <v>25625</v>
      </c>
      <c r="N126" s="59">
        <f t="shared" si="65"/>
        <v>25625</v>
      </c>
      <c r="O126" s="60" t="s">
        <v>97</v>
      </c>
      <c r="P126" s="61">
        <f>SUM(C126:N126)</f>
        <v>307500</v>
      </c>
    </row>
    <row r="127" spans="2:16" x14ac:dyDescent="0.25">
      <c r="B127" s="21" t="s">
        <v>21</v>
      </c>
      <c r="C127" s="21">
        <f t="shared" ref="C127:N127" si="66">C125*0.4</f>
        <v>10250</v>
      </c>
      <c r="D127" s="21">
        <f t="shared" si="66"/>
        <v>10250</v>
      </c>
      <c r="E127" s="21">
        <f t="shared" si="66"/>
        <v>10250</v>
      </c>
      <c r="F127" s="21">
        <f t="shared" si="66"/>
        <v>10250</v>
      </c>
      <c r="G127" s="21">
        <f t="shared" si="66"/>
        <v>10250</v>
      </c>
      <c r="H127" s="21">
        <f t="shared" si="66"/>
        <v>10250</v>
      </c>
      <c r="I127" s="21">
        <f t="shared" si="66"/>
        <v>10250</v>
      </c>
      <c r="J127" s="21">
        <f t="shared" si="66"/>
        <v>10250</v>
      </c>
      <c r="K127" s="21">
        <f t="shared" si="66"/>
        <v>10250</v>
      </c>
      <c r="L127" s="21">
        <f t="shared" si="66"/>
        <v>10250</v>
      </c>
      <c r="M127" s="21">
        <f t="shared" si="66"/>
        <v>10250</v>
      </c>
      <c r="N127" s="22">
        <f t="shared" si="66"/>
        <v>10250</v>
      </c>
      <c r="O127" s="60" t="s">
        <v>98</v>
      </c>
      <c r="P127" s="61">
        <f>SUM(C127:N127)</f>
        <v>123000</v>
      </c>
    </row>
    <row r="128" spans="2:16" x14ac:dyDescent="0.25">
      <c r="B128" s="59" t="s">
        <v>99</v>
      </c>
      <c r="C128" s="59">
        <f>'Budget Prev 3 années SANS PRECO'!P121</f>
        <v>10250</v>
      </c>
      <c r="D128" s="59">
        <f t="shared" ref="D128:N128" si="67">C127</f>
        <v>10250</v>
      </c>
      <c r="E128" s="59">
        <f t="shared" si="67"/>
        <v>10250</v>
      </c>
      <c r="F128" s="59">
        <f t="shared" si="67"/>
        <v>10250</v>
      </c>
      <c r="G128" s="59">
        <f t="shared" si="67"/>
        <v>10250</v>
      </c>
      <c r="H128" s="59">
        <f t="shared" si="67"/>
        <v>10250</v>
      </c>
      <c r="I128" s="59">
        <f t="shared" si="67"/>
        <v>10250</v>
      </c>
      <c r="J128" s="59">
        <f t="shared" si="67"/>
        <v>10250</v>
      </c>
      <c r="K128" s="59">
        <f t="shared" si="67"/>
        <v>10250</v>
      </c>
      <c r="L128" s="59">
        <f t="shared" si="67"/>
        <v>10250</v>
      </c>
      <c r="M128" s="59">
        <f t="shared" si="67"/>
        <v>10250</v>
      </c>
      <c r="N128" s="59">
        <f t="shared" si="67"/>
        <v>10250</v>
      </c>
      <c r="O128" s="60" t="s">
        <v>100</v>
      </c>
      <c r="P128" s="61">
        <f>N127</f>
        <v>10250</v>
      </c>
    </row>
    <row r="131" spans="2:16" x14ac:dyDescent="0.25">
      <c r="B131" s="288" t="s">
        <v>147</v>
      </c>
      <c r="C131" s="288"/>
      <c r="D131" s="288"/>
      <c r="E131" s="288"/>
      <c r="F131" s="288"/>
      <c r="G131" s="288"/>
      <c r="H131" s="288"/>
      <c r="I131" s="288"/>
      <c r="J131" s="288"/>
      <c r="K131" s="288"/>
      <c r="L131" s="288"/>
      <c r="M131" s="288"/>
      <c r="N131" s="288"/>
      <c r="O131" s="288"/>
      <c r="P131" s="288"/>
    </row>
    <row r="132" spans="2:16" x14ac:dyDescent="0.25">
      <c r="B132" s="213"/>
      <c r="C132" s="215" t="s">
        <v>50</v>
      </c>
      <c r="D132" s="215" t="s">
        <v>51</v>
      </c>
      <c r="E132" s="215" t="s">
        <v>52</v>
      </c>
      <c r="F132" s="215" t="s">
        <v>53</v>
      </c>
      <c r="G132" s="215" t="s">
        <v>54</v>
      </c>
      <c r="H132" s="215" t="s">
        <v>55</v>
      </c>
      <c r="I132" s="215" t="s">
        <v>56</v>
      </c>
      <c r="J132" s="215" t="s">
        <v>57</v>
      </c>
      <c r="K132" s="215" t="s">
        <v>58</v>
      </c>
      <c r="L132" s="215" t="s">
        <v>59</v>
      </c>
      <c r="M132" s="215" t="s">
        <v>60</v>
      </c>
      <c r="N132" s="215" t="s">
        <v>61</v>
      </c>
      <c r="O132" s="220" t="s">
        <v>62</v>
      </c>
      <c r="P132" s="221"/>
    </row>
    <row r="133" spans="2:16" x14ac:dyDescent="0.25">
      <c r="B133" s="214"/>
      <c r="C133" s="216"/>
      <c r="D133" s="216"/>
      <c r="E133" s="216"/>
      <c r="F133" s="216"/>
      <c r="G133" s="216"/>
      <c r="H133" s="216"/>
      <c r="I133" s="216"/>
      <c r="J133" s="216"/>
      <c r="K133" s="216"/>
      <c r="L133" s="216"/>
      <c r="M133" s="216"/>
      <c r="N133" s="216"/>
      <c r="O133" s="58" t="s">
        <v>64</v>
      </c>
      <c r="P133" s="58" t="s">
        <v>65</v>
      </c>
    </row>
    <row r="134" spans="2:16" x14ac:dyDescent="0.25">
      <c r="B134" s="46" t="s">
        <v>102</v>
      </c>
      <c r="C134" s="35"/>
      <c r="D134" s="35"/>
      <c r="E134" s="35"/>
      <c r="F134" s="35"/>
      <c r="G134" s="35"/>
      <c r="H134" s="35"/>
      <c r="I134" s="35"/>
      <c r="J134" s="35"/>
      <c r="K134" s="35"/>
      <c r="L134" s="35">
        <v>8200</v>
      </c>
      <c r="M134" s="35"/>
      <c r="N134" s="35"/>
      <c r="O134" s="60" t="s">
        <v>103</v>
      </c>
      <c r="P134" s="61">
        <f>SUM(C134:N134)</f>
        <v>8200</v>
      </c>
    </row>
    <row r="135" spans="2:16" x14ac:dyDescent="0.25">
      <c r="B135" s="34" t="s">
        <v>105</v>
      </c>
      <c r="C135" s="34"/>
      <c r="D135" s="34"/>
      <c r="E135" s="34"/>
      <c r="F135" s="34"/>
      <c r="G135" s="34"/>
      <c r="H135" s="34"/>
      <c r="I135" s="34"/>
      <c r="J135" s="34"/>
      <c r="K135" s="34"/>
      <c r="L135" s="34">
        <v>8200</v>
      </c>
      <c r="M135" s="34"/>
      <c r="N135" s="34"/>
      <c r="O135" s="34"/>
      <c r="P135" s="34"/>
    </row>
    <row r="136" spans="2:16" x14ac:dyDescent="0.25">
      <c r="B136" s="34" t="s">
        <v>106</v>
      </c>
      <c r="C136" s="34">
        <f t="shared" ref="C136:N136" si="68">$P$136/12</f>
        <v>175</v>
      </c>
      <c r="D136" s="34">
        <f t="shared" si="68"/>
        <v>175</v>
      </c>
      <c r="E136" s="34">
        <f t="shared" si="68"/>
        <v>175</v>
      </c>
      <c r="F136" s="34">
        <f t="shared" si="68"/>
        <v>175</v>
      </c>
      <c r="G136" s="34">
        <f t="shared" si="68"/>
        <v>175</v>
      </c>
      <c r="H136" s="34">
        <f t="shared" si="68"/>
        <v>175</v>
      </c>
      <c r="I136" s="34">
        <f t="shared" si="68"/>
        <v>175</v>
      </c>
      <c r="J136" s="34">
        <f t="shared" si="68"/>
        <v>175</v>
      </c>
      <c r="K136" s="34">
        <f t="shared" si="68"/>
        <v>175</v>
      </c>
      <c r="L136" s="34">
        <f t="shared" si="68"/>
        <v>175</v>
      </c>
      <c r="M136" s="34">
        <f t="shared" si="68"/>
        <v>175</v>
      </c>
      <c r="N136" s="34">
        <f t="shared" si="68"/>
        <v>175</v>
      </c>
      <c r="O136" s="60" t="s">
        <v>107</v>
      </c>
      <c r="P136" s="61">
        <f>Informations!D27</f>
        <v>2100</v>
      </c>
    </row>
    <row r="137" spans="2:16" x14ac:dyDescent="0.25">
      <c r="B137" s="34" t="s">
        <v>108</v>
      </c>
      <c r="C137" s="34">
        <f t="shared" ref="C137:N137" si="69">$P$44/12</f>
        <v>5000</v>
      </c>
      <c r="D137" s="34">
        <f t="shared" si="69"/>
        <v>5000</v>
      </c>
      <c r="E137" s="34">
        <f t="shared" si="69"/>
        <v>5000</v>
      </c>
      <c r="F137" s="34">
        <f t="shared" si="69"/>
        <v>5000</v>
      </c>
      <c r="G137" s="34">
        <f t="shared" si="69"/>
        <v>5000</v>
      </c>
      <c r="H137" s="34">
        <f t="shared" si="69"/>
        <v>5000</v>
      </c>
      <c r="I137" s="34">
        <f t="shared" si="69"/>
        <v>5000</v>
      </c>
      <c r="J137" s="34">
        <f t="shared" si="69"/>
        <v>5000</v>
      </c>
      <c r="K137" s="34">
        <f t="shared" si="69"/>
        <v>5000</v>
      </c>
      <c r="L137" s="34">
        <f t="shared" si="69"/>
        <v>5000</v>
      </c>
      <c r="M137" s="34">
        <f t="shared" si="69"/>
        <v>5000</v>
      </c>
      <c r="N137" s="34">
        <f t="shared" si="69"/>
        <v>5000</v>
      </c>
      <c r="O137" s="60" t="s">
        <v>109</v>
      </c>
      <c r="P137" s="61">
        <f>Informations!E27</f>
        <v>60000</v>
      </c>
    </row>
    <row r="138" spans="2:16" x14ac:dyDescent="0.25">
      <c r="B138" s="59" t="s">
        <v>71</v>
      </c>
      <c r="C138" s="59">
        <f t="shared" ref="C138:N138" si="70">C136+C137</f>
        <v>5175</v>
      </c>
      <c r="D138" s="59">
        <f t="shared" si="70"/>
        <v>5175</v>
      </c>
      <c r="E138" s="59">
        <f t="shared" si="70"/>
        <v>5175</v>
      </c>
      <c r="F138" s="59">
        <f t="shared" si="70"/>
        <v>5175</v>
      </c>
      <c r="G138" s="59">
        <f t="shared" si="70"/>
        <v>5175</v>
      </c>
      <c r="H138" s="59">
        <f t="shared" si="70"/>
        <v>5175</v>
      </c>
      <c r="I138" s="59">
        <f t="shared" si="70"/>
        <v>5175</v>
      </c>
      <c r="J138" s="59">
        <f t="shared" si="70"/>
        <v>5175</v>
      </c>
      <c r="K138" s="59">
        <f t="shared" si="70"/>
        <v>5175</v>
      </c>
      <c r="L138" s="59">
        <f t="shared" si="70"/>
        <v>5175</v>
      </c>
      <c r="M138" s="59">
        <f t="shared" si="70"/>
        <v>5175</v>
      </c>
      <c r="N138" s="59">
        <f t="shared" si="70"/>
        <v>5175</v>
      </c>
      <c r="O138" s="38"/>
      <c r="P138" s="38"/>
    </row>
    <row r="141" spans="2:16" x14ac:dyDescent="0.25">
      <c r="B141" s="288" t="s">
        <v>148</v>
      </c>
      <c r="C141" s="288"/>
      <c r="D141" s="288"/>
      <c r="E141" s="288"/>
      <c r="F141" s="288"/>
      <c r="G141" s="288"/>
      <c r="H141" s="288"/>
      <c r="I141" s="288"/>
      <c r="J141" s="288"/>
      <c r="K141" s="288"/>
      <c r="L141" s="288"/>
      <c r="M141" s="288"/>
      <c r="N141" s="288"/>
      <c r="O141" s="288"/>
      <c r="P141" s="288"/>
    </row>
    <row r="142" spans="2:16" x14ac:dyDescent="0.25">
      <c r="B142" s="213"/>
      <c r="C142" s="215" t="s">
        <v>50</v>
      </c>
      <c r="D142" s="215" t="s">
        <v>51</v>
      </c>
      <c r="E142" s="215" t="s">
        <v>52</v>
      </c>
      <c r="F142" s="215" t="s">
        <v>53</v>
      </c>
      <c r="G142" s="215" t="s">
        <v>54</v>
      </c>
      <c r="H142" s="215" t="s">
        <v>55</v>
      </c>
      <c r="I142" s="215" t="s">
        <v>56</v>
      </c>
      <c r="J142" s="215" t="s">
        <v>57</v>
      </c>
      <c r="K142" s="215" t="s">
        <v>58</v>
      </c>
      <c r="L142" s="215" t="s">
        <v>59</v>
      </c>
      <c r="M142" s="215" t="s">
        <v>60</v>
      </c>
      <c r="N142" s="215" t="s">
        <v>61</v>
      </c>
      <c r="O142" s="220" t="s">
        <v>62</v>
      </c>
      <c r="P142" s="221"/>
    </row>
    <row r="143" spans="2:16" x14ac:dyDescent="0.25">
      <c r="B143" s="214"/>
      <c r="C143" s="216"/>
      <c r="D143" s="216"/>
      <c r="E143" s="216"/>
      <c r="F143" s="216"/>
      <c r="G143" s="216"/>
      <c r="H143" s="216"/>
      <c r="I143" s="216"/>
      <c r="J143" s="216"/>
      <c r="K143" s="216"/>
      <c r="L143" s="216"/>
      <c r="M143" s="216"/>
      <c r="N143" s="216"/>
      <c r="O143" s="58" t="s">
        <v>64</v>
      </c>
      <c r="P143" s="58" t="s">
        <v>65</v>
      </c>
    </row>
    <row r="144" spans="2:16" x14ac:dyDescent="0.25">
      <c r="B144" s="35" t="s">
        <v>111</v>
      </c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5"/>
      <c r="N144" s="35"/>
      <c r="O144" s="60" t="s">
        <v>227</v>
      </c>
      <c r="P144" s="61">
        <f>SUM(C144:N144)</f>
        <v>0</v>
      </c>
    </row>
    <row r="145" spans="2:31" x14ac:dyDescent="0.25">
      <c r="B145" s="34" t="s">
        <v>113</v>
      </c>
      <c r="C145" s="34">
        <f t="shared" ref="C145:N145" si="71">C144*20%</f>
        <v>0</v>
      </c>
      <c r="D145" s="34">
        <f t="shared" si="71"/>
        <v>0</v>
      </c>
      <c r="E145" s="34">
        <f t="shared" si="71"/>
        <v>0</v>
      </c>
      <c r="F145" s="34">
        <f t="shared" si="71"/>
        <v>0</v>
      </c>
      <c r="G145" s="34">
        <f t="shared" si="71"/>
        <v>0</v>
      </c>
      <c r="H145" s="34">
        <f t="shared" si="71"/>
        <v>0</v>
      </c>
      <c r="I145" s="34">
        <f t="shared" si="71"/>
        <v>0</v>
      </c>
      <c r="J145" s="34">
        <f t="shared" si="71"/>
        <v>0</v>
      </c>
      <c r="K145" s="34">
        <f t="shared" si="71"/>
        <v>0</v>
      </c>
      <c r="L145" s="34">
        <f t="shared" si="71"/>
        <v>0</v>
      </c>
      <c r="M145" s="34">
        <f t="shared" si="71"/>
        <v>0</v>
      </c>
      <c r="N145" s="34">
        <f t="shared" si="71"/>
        <v>0</v>
      </c>
      <c r="O145" s="34"/>
      <c r="P145" s="34"/>
    </row>
    <row r="146" spans="2:31" x14ac:dyDescent="0.25">
      <c r="B146" s="34" t="s">
        <v>114</v>
      </c>
      <c r="C146" s="34">
        <f t="shared" ref="C146:N146" si="72">C144+C145</f>
        <v>0</v>
      </c>
      <c r="D146" s="34">
        <f t="shared" si="72"/>
        <v>0</v>
      </c>
      <c r="E146" s="34">
        <f t="shared" si="72"/>
        <v>0</v>
      </c>
      <c r="F146" s="34">
        <f t="shared" si="72"/>
        <v>0</v>
      </c>
      <c r="G146" s="34">
        <f t="shared" si="72"/>
        <v>0</v>
      </c>
      <c r="H146" s="34">
        <f t="shared" si="72"/>
        <v>0</v>
      </c>
      <c r="I146" s="34">
        <f t="shared" si="72"/>
        <v>0</v>
      </c>
      <c r="J146" s="34">
        <f t="shared" si="72"/>
        <v>0</v>
      </c>
      <c r="K146" s="34">
        <f t="shared" si="72"/>
        <v>0</v>
      </c>
      <c r="L146" s="34">
        <f t="shared" si="72"/>
        <v>0</v>
      </c>
      <c r="M146" s="34">
        <f t="shared" si="72"/>
        <v>0</v>
      </c>
      <c r="N146" s="34">
        <f t="shared" si="72"/>
        <v>0</v>
      </c>
      <c r="O146" s="34"/>
      <c r="P146" s="34"/>
    </row>
    <row r="147" spans="2:31" x14ac:dyDescent="0.25">
      <c r="B147" s="59" t="s">
        <v>81</v>
      </c>
      <c r="C147" s="59">
        <f t="shared" ref="C147:N147" si="73">C146</f>
        <v>0</v>
      </c>
      <c r="D147" s="59">
        <f t="shared" si="73"/>
        <v>0</v>
      </c>
      <c r="E147" s="59">
        <f t="shared" si="73"/>
        <v>0</v>
      </c>
      <c r="F147" s="59">
        <f t="shared" si="73"/>
        <v>0</v>
      </c>
      <c r="G147" s="59">
        <f t="shared" si="73"/>
        <v>0</v>
      </c>
      <c r="H147" s="59">
        <f t="shared" si="73"/>
        <v>0</v>
      </c>
      <c r="I147" s="59">
        <f t="shared" si="73"/>
        <v>0</v>
      </c>
      <c r="J147" s="59">
        <f t="shared" si="73"/>
        <v>0</v>
      </c>
      <c r="K147" s="59">
        <f t="shared" si="73"/>
        <v>0</v>
      </c>
      <c r="L147" s="59">
        <f t="shared" si="73"/>
        <v>0</v>
      </c>
      <c r="M147" s="59">
        <f t="shared" si="73"/>
        <v>0</v>
      </c>
      <c r="N147" s="59">
        <f t="shared" si="73"/>
        <v>0</v>
      </c>
      <c r="O147" s="60" t="s">
        <v>220</v>
      </c>
      <c r="P147" s="61">
        <v>0</v>
      </c>
    </row>
    <row r="148" spans="2:31" x14ac:dyDescent="0.25">
      <c r="C148" s="20" t="s">
        <v>149</v>
      </c>
      <c r="S148" s="283" t="s">
        <v>203</v>
      </c>
      <c r="T148" s="283" t="s">
        <v>50</v>
      </c>
      <c r="U148" s="283" t="s">
        <v>51</v>
      </c>
      <c r="V148" s="283" t="s">
        <v>52</v>
      </c>
      <c r="W148" s="283" t="s">
        <v>53</v>
      </c>
      <c r="X148" s="283" t="s">
        <v>54</v>
      </c>
      <c r="Y148" s="283" t="s">
        <v>55</v>
      </c>
      <c r="Z148" s="283" t="s">
        <v>56</v>
      </c>
      <c r="AA148" s="283" t="s">
        <v>57</v>
      </c>
      <c r="AB148" s="283" t="s">
        <v>58</v>
      </c>
      <c r="AC148" s="283" t="s">
        <v>59</v>
      </c>
      <c r="AD148" s="283" t="s">
        <v>60</v>
      </c>
      <c r="AE148" s="283" t="s">
        <v>61</v>
      </c>
    </row>
    <row r="149" spans="2:31" x14ac:dyDescent="0.25">
      <c r="S149" s="283"/>
      <c r="T149" s="283"/>
      <c r="U149" s="283"/>
      <c r="V149" s="283"/>
      <c r="W149" s="283"/>
      <c r="X149" s="283"/>
      <c r="Y149" s="283"/>
      <c r="Z149" s="283"/>
      <c r="AA149" s="283"/>
      <c r="AB149" s="283"/>
      <c r="AC149" s="283"/>
      <c r="AD149" s="283"/>
      <c r="AE149" s="283"/>
    </row>
    <row r="150" spans="2:31" x14ac:dyDescent="0.25">
      <c r="B150" s="288" t="s">
        <v>150</v>
      </c>
      <c r="C150" s="288"/>
      <c r="D150" s="288"/>
      <c r="E150" s="288"/>
      <c r="F150" s="288"/>
      <c r="G150" s="288"/>
      <c r="H150" s="288"/>
      <c r="I150" s="288"/>
      <c r="J150" s="288"/>
      <c r="K150" s="288"/>
      <c r="L150" s="288"/>
      <c r="M150" s="288"/>
      <c r="N150" s="288"/>
      <c r="O150" s="288"/>
      <c r="P150" s="288"/>
      <c r="S150" s="59" t="s">
        <v>204</v>
      </c>
      <c r="T150" s="59">
        <f t="shared" ref="T150:AE150" si="74">C167</f>
        <v>6364.8</v>
      </c>
      <c r="U150" s="59">
        <f t="shared" si="74"/>
        <v>6555.7439999999997</v>
      </c>
      <c r="V150" s="59">
        <f t="shared" si="74"/>
        <v>6555.7439999999997</v>
      </c>
      <c r="W150" s="59">
        <f t="shared" si="74"/>
        <v>6555.7439999999997</v>
      </c>
      <c r="X150" s="59">
        <f t="shared" si="74"/>
        <v>6555.7439999999997</v>
      </c>
      <c r="Y150" s="59">
        <f t="shared" si="74"/>
        <v>6555.7439999999997</v>
      </c>
      <c r="Z150" s="59">
        <f t="shared" si="74"/>
        <v>6555.7439999999997</v>
      </c>
      <c r="AA150" s="59">
        <f t="shared" si="74"/>
        <v>6555.7439999999997</v>
      </c>
      <c r="AB150" s="59">
        <f t="shared" si="74"/>
        <v>6555.7439999999997</v>
      </c>
      <c r="AC150" s="59">
        <f t="shared" si="74"/>
        <v>6555.7439999999997</v>
      </c>
      <c r="AD150" s="59">
        <f t="shared" si="74"/>
        <v>6555.7439999999997</v>
      </c>
      <c r="AE150" s="59">
        <f t="shared" si="74"/>
        <v>6555.7439999999997</v>
      </c>
    </row>
    <row r="151" spans="2:31" x14ac:dyDescent="0.25">
      <c r="B151" s="213"/>
      <c r="C151" s="215" t="s">
        <v>50</v>
      </c>
      <c r="D151" s="215" t="s">
        <v>51</v>
      </c>
      <c r="E151" s="215" t="s">
        <v>52</v>
      </c>
      <c r="F151" s="215" t="s">
        <v>53</v>
      </c>
      <c r="G151" s="215" t="s">
        <v>54</v>
      </c>
      <c r="H151" s="215" t="s">
        <v>55</v>
      </c>
      <c r="I151" s="215" t="s">
        <v>56</v>
      </c>
      <c r="J151" s="215" t="s">
        <v>57</v>
      </c>
      <c r="K151" s="215" t="s">
        <v>58</v>
      </c>
      <c r="L151" s="215" t="s">
        <v>59</v>
      </c>
      <c r="M151" s="215" t="s">
        <v>60</v>
      </c>
      <c r="N151" s="215" t="s">
        <v>61</v>
      </c>
      <c r="O151" s="220" t="s">
        <v>62</v>
      </c>
      <c r="P151" s="221"/>
      <c r="S151" s="34" t="s">
        <v>205</v>
      </c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4"/>
      <c r="AE151" s="34"/>
    </row>
    <row r="152" spans="2:31" x14ac:dyDescent="0.25">
      <c r="B152" s="214"/>
      <c r="C152" s="216"/>
      <c r="D152" s="216"/>
      <c r="E152" s="216"/>
      <c r="F152" s="216"/>
      <c r="G152" s="216"/>
      <c r="H152" s="216"/>
      <c r="I152" s="216"/>
      <c r="J152" s="216"/>
      <c r="K152" s="216"/>
      <c r="L152" s="216"/>
      <c r="M152" s="216"/>
      <c r="N152" s="216"/>
      <c r="O152" s="58" t="s">
        <v>64</v>
      </c>
      <c r="P152" s="58" t="s">
        <v>65</v>
      </c>
      <c r="S152" s="34" t="s">
        <v>206</v>
      </c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4"/>
      <c r="AE152" s="34"/>
    </row>
    <row r="153" spans="2:31" x14ac:dyDescent="0.25">
      <c r="B153" s="59" t="s">
        <v>68</v>
      </c>
      <c r="C153" s="59">
        <f t="shared" ref="C153:N153" si="75">C99</f>
        <v>1092.624</v>
      </c>
      <c r="D153" s="59">
        <f t="shared" si="75"/>
        <v>1092.624</v>
      </c>
      <c r="E153" s="59">
        <f t="shared" si="75"/>
        <v>1092.624</v>
      </c>
      <c r="F153" s="59">
        <f t="shared" si="75"/>
        <v>1092.624</v>
      </c>
      <c r="G153" s="59">
        <f t="shared" si="75"/>
        <v>1092.624</v>
      </c>
      <c r="H153" s="59">
        <f t="shared" si="75"/>
        <v>1092.624</v>
      </c>
      <c r="I153" s="59">
        <f t="shared" si="75"/>
        <v>1092.624</v>
      </c>
      <c r="J153" s="59">
        <f t="shared" si="75"/>
        <v>1092.624</v>
      </c>
      <c r="K153" s="59">
        <f t="shared" si="75"/>
        <v>1092.624</v>
      </c>
      <c r="L153" s="59">
        <f t="shared" si="75"/>
        <v>1092.624</v>
      </c>
      <c r="M153" s="59">
        <f t="shared" si="75"/>
        <v>1092.624</v>
      </c>
      <c r="N153" s="59">
        <f t="shared" si="75"/>
        <v>1092.624</v>
      </c>
      <c r="O153" s="34"/>
      <c r="P153" s="34"/>
      <c r="S153" s="34" t="s">
        <v>207</v>
      </c>
      <c r="T153" s="34"/>
      <c r="U153" s="34">
        <v>1373</v>
      </c>
      <c r="V153" s="34">
        <v>1790</v>
      </c>
      <c r="W153" s="34">
        <v>1819</v>
      </c>
      <c r="X153" s="34">
        <v>1822</v>
      </c>
      <c r="Y153" s="34">
        <v>2017</v>
      </c>
      <c r="Z153" s="34">
        <v>1998</v>
      </c>
      <c r="AA153" s="34">
        <v>1997</v>
      </c>
      <c r="AB153" s="34">
        <v>1997</v>
      </c>
      <c r="AC153" s="34">
        <v>10196</v>
      </c>
      <c r="AD153" s="34">
        <v>2571</v>
      </c>
      <c r="AE153" s="34">
        <v>2037</v>
      </c>
    </row>
    <row r="154" spans="2:31" x14ac:dyDescent="0.25">
      <c r="B154" s="34" t="s">
        <v>79</v>
      </c>
      <c r="C154" s="34">
        <f t="shared" ref="C154:N154" si="76">C108</f>
        <v>349.63968</v>
      </c>
      <c r="D154" s="34">
        <f t="shared" si="76"/>
        <v>349.63968</v>
      </c>
      <c r="E154" s="34">
        <f t="shared" si="76"/>
        <v>349.63968</v>
      </c>
      <c r="F154" s="34">
        <f t="shared" si="76"/>
        <v>349.63968</v>
      </c>
      <c r="G154" s="34">
        <f t="shared" si="76"/>
        <v>349.63968</v>
      </c>
      <c r="H154" s="34">
        <f t="shared" si="76"/>
        <v>349.63968</v>
      </c>
      <c r="I154" s="34">
        <f t="shared" si="76"/>
        <v>349.63968</v>
      </c>
      <c r="J154" s="34">
        <f t="shared" si="76"/>
        <v>349.63968</v>
      </c>
      <c r="K154" s="34">
        <f t="shared" si="76"/>
        <v>349.63968</v>
      </c>
      <c r="L154" s="34">
        <f t="shared" si="76"/>
        <v>349.63968</v>
      </c>
      <c r="M154" s="34">
        <f t="shared" si="76"/>
        <v>349.63968</v>
      </c>
      <c r="N154" s="34">
        <f t="shared" si="76"/>
        <v>349.63968</v>
      </c>
      <c r="O154" s="34"/>
      <c r="P154" s="34"/>
      <c r="S154" s="59" t="s">
        <v>210</v>
      </c>
      <c r="T154" s="59">
        <f t="shared" ref="T154:AE154" si="77">T150+T153</f>
        <v>6364.8</v>
      </c>
      <c r="U154" s="59">
        <f t="shared" si="77"/>
        <v>7928.7439999999997</v>
      </c>
      <c r="V154" s="59">
        <f t="shared" si="77"/>
        <v>8345.7439999999988</v>
      </c>
      <c r="W154" s="59">
        <f t="shared" si="77"/>
        <v>8374.7439999999988</v>
      </c>
      <c r="X154" s="59">
        <f t="shared" si="77"/>
        <v>8377.7439999999988</v>
      </c>
      <c r="Y154" s="59">
        <f t="shared" si="77"/>
        <v>8572.7439999999988</v>
      </c>
      <c r="Z154" s="59">
        <f t="shared" si="77"/>
        <v>8553.7439999999988</v>
      </c>
      <c r="AA154" s="59">
        <f t="shared" si="77"/>
        <v>8552.7439999999988</v>
      </c>
      <c r="AB154" s="59">
        <f t="shared" si="77"/>
        <v>8552.7439999999988</v>
      </c>
      <c r="AC154" s="59">
        <f t="shared" si="77"/>
        <v>16751.743999999999</v>
      </c>
      <c r="AD154" s="59">
        <f t="shared" si="77"/>
        <v>9126.7439999999988</v>
      </c>
      <c r="AE154" s="59">
        <f t="shared" si="77"/>
        <v>8592.7439999999988</v>
      </c>
    </row>
    <row r="155" spans="2:31" x14ac:dyDescent="0.25">
      <c r="B155" s="34" t="s">
        <v>86</v>
      </c>
      <c r="C155" s="34">
        <f t="shared" ref="C155:N155" si="78">C117+C120</f>
        <v>1481.6071428571429</v>
      </c>
      <c r="D155" s="34">
        <f t="shared" si="78"/>
        <v>1481.6071428571429</v>
      </c>
      <c r="E155" s="34">
        <f t="shared" si="78"/>
        <v>1481.6071428571429</v>
      </c>
      <c r="F155" s="34">
        <f t="shared" si="78"/>
        <v>1481.6071428571429</v>
      </c>
      <c r="G155" s="34">
        <f t="shared" si="78"/>
        <v>1481.6071428571429</v>
      </c>
      <c r="H155" s="34">
        <f t="shared" si="78"/>
        <v>1514.1904761904761</v>
      </c>
      <c r="I155" s="34">
        <f t="shared" si="78"/>
        <v>1514.1904761904761</v>
      </c>
      <c r="J155" s="34">
        <f t="shared" si="78"/>
        <v>1514.1904761904761</v>
      </c>
      <c r="K155" s="34">
        <f t="shared" si="78"/>
        <v>1514.1904761904761</v>
      </c>
      <c r="L155" s="34">
        <f t="shared" si="78"/>
        <v>1514.1904761904761</v>
      </c>
      <c r="M155" s="34">
        <f t="shared" si="78"/>
        <v>1514.1904761904761</v>
      </c>
      <c r="N155" s="34">
        <f t="shared" si="78"/>
        <v>1514.1904761904761</v>
      </c>
      <c r="O155" s="34"/>
      <c r="P155" s="34"/>
      <c r="S155" s="34" t="s">
        <v>211</v>
      </c>
      <c r="T155" s="34">
        <f t="shared" ref="T155:AE155" si="79">C177</f>
        <v>51298.433794285716</v>
      </c>
      <c r="U155" s="34">
        <f t="shared" si="79"/>
        <v>51298.858114285715</v>
      </c>
      <c r="V155" s="34">
        <f t="shared" si="79"/>
        <v>51298.858114285715</v>
      </c>
      <c r="W155" s="34">
        <f t="shared" si="79"/>
        <v>51298.858114285715</v>
      </c>
      <c r="X155" s="34">
        <f t="shared" si="79"/>
        <v>51298.858114285715</v>
      </c>
      <c r="Y155" s="34">
        <f t="shared" si="79"/>
        <v>51494.358114285715</v>
      </c>
      <c r="Z155" s="34">
        <f t="shared" si="79"/>
        <v>51461.774780952379</v>
      </c>
      <c r="AA155" s="34">
        <f t="shared" si="79"/>
        <v>51461.774780952379</v>
      </c>
      <c r="AB155" s="34">
        <f t="shared" si="79"/>
        <v>51461.774780952379</v>
      </c>
      <c r="AC155" s="34">
        <f t="shared" si="79"/>
        <v>59661.774780952379</v>
      </c>
      <c r="AD155" s="34">
        <f t="shared" si="79"/>
        <v>51461.774780952379</v>
      </c>
      <c r="AE155" s="34">
        <f t="shared" si="79"/>
        <v>51461.774780952379</v>
      </c>
    </row>
    <row r="156" spans="2:31" x14ac:dyDescent="0.25">
      <c r="B156" s="59" t="s">
        <v>113</v>
      </c>
      <c r="C156" s="59">
        <f t="shared" ref="C156:N156" si="80">C145</f>
        <v>0</v>
      </c>
      <c r="D156" s="59">
        <f t="shared" si="80"/>
        <v>0</v>
      </c>
      <c r="E156" s="59">
        <f t="shared" si="80"/>
        <v>0</v>
      </c>
      <c r="F156" s="59">
        <f t="shared" si="80"/>
        <v>0</v>
      </c>
      <c r="G156" s="59">
        <f t="shared" si="80"/>
        <v>0</v>
      </c>
      <c r="H156" s="59">
        <f t="shared" si="80"/>
        <v>0</v>
      </c>
      <c r="I156" s="59">
        <f t="shared" si="80"/>
        <v>0</v>
      </c>
      <c r="J156" s="59">
        <f t="shared" si="80"/>
        <v>0</v>
      </c>
      <c r="K156" s="59">
        <f t="shared" si="80"/>
        <v>0</v>
      </c>
      <c r="L156" s="59">
        <f t="shared" si="80"/>
        <v>0</v>
      </c>
      <c r="M156" s="59">
        <f t="shared" si="80"/>
        <v>0</v>
      </c>
      <c r="N156" s="59">
        <f t="shared" si="80"/>
        <v>0</v>
      </c>
      <c r="O156" s="34"/>
      <c r="P156" s="34"/>
      <c r="S156" s="34" t="s">
        <v>212</v>
      </c>
      <c r="T156" s="34">
        <f>AE53*0.07</f>
        <v>198.94000000000003</v>
      </c>
      <c r="U156" s="34">
        <f t="shared" ref="U156:AE156" si="81">T153*0.07</f>
        <v>0</v>
      </c>
      <c r="V156" s="34">
        <f t="shared" si="81"/>
        <v>96.110000000000014</v>
      </c>
      <c r="W156" s="34">
        <f t="shared" si="81"/>
        <v>125.30000000000001</v>
      </c>
      <c r="X156" s="34">
        <f t="shared" si="81"/>
        <v>127.33000000000001</v>
      </c>
      <c r="Y156" s="34">
        <f t="shared" si="81"/>
        <v>127.54</v>
      </c>
      <c r="Z156" s="34">
        <f t="shared" si="81"/>
        <v>141.19000000000003</v>
      </c>
      <c r="AA156" s="34">
        <f t="shared" si="81"/>
        <v>139.86000000000001</v>
      </c>
      <c r="AB156" s="34">
        <f t="shared" si="81"/>
        <v>139.79000000000002</v>
      </c>
      <c r="AC156" s="34">
        <f t="shared" si="81"/>
        <v>139.79000000000002</v>
      </c>
      <c r="AD156" s="34">
        <f t="shared" si="81"/>
        <v>713.72</v>
      </c>
      <c r="AE156" s="34">
        <f t="shared" si="81"/>
        <v>179.97000000000003</v>
      </c>
    </row>
    <row r="157" spans="2:31" x14ac:dyDescent="0.25">
      <c r="B157" s="44" t="s">
        <v>117</v>
      </c>
      <c r="C157" s="42">
        <f t="shared" ref="C157:N157" si="82">C154+C155+C156</f>
        <v>1831.2468228571429</v>
      </c>
      <c r="D157" s="42">
        <f t="shared" si="82"/>
        <v>1831.2468228571429</v>
      </c>
      <c r="E157" s="42">
        <f t="shared" si="82"/>
        <v>1831.2468228571429</v>
      </c>
      <c r="F157" s="42">
        <f t="shared" si="82"/>
        <v>1831.2468228571429</v>
      </c>
      <c r="G157" s="42">
        <f t="shared" si="82"/>
        <v>1831.2468228571429</v>
      </c>
      <c r="H157" s="42">
        <f t="shared" si="82"/>
        <v>1863.8301561904761</v>
      </c>
      <c r="I157" s="42">
        <f t="shared" si="82"/>
        <v>1863.8301561904761</v>
      </c>
      <c r="J157" s="42">
        <f t="shared" si="82"/>
        <v>1863.8301561904761</v>
      </c>
      <c r="K157" s="42">
        <f t="shared" si="82"/>
        <v>1863.8301561904761</v>
      </c>
      <c r="L157" s="42">
        <f t="shared" si="82"/>
        <v>1863.8301561904761</v>
      </c>
      <c r="M157" s="42">
        <f t="shared" si="82"/>
        <v>1863.8301561904761</v>
      </c>
      <c r="N157" s="42">
        <f t="shared" si="82"/>
        <v>1863.8301561904761</v>
      </c>
      <c r="O157" s="34"/>
      <c r="P157" s="34"/>
      <c r="S157" s="59" t="s">
        <v>213</v>
      </c>
      <c r="T157" s="59">
        <f t="shared" ref="T157:AE157" si="83">T155+T156</f>
        <v>51497.373794285719</v>
      </c>
      <c r="U157" s="59">
        <f t="shared" si="83"/>
        <v>51298.858114285715</v>
      </c>
      <c r="V157" s="59">
        <f t="shared" si="83"/>
        <v>51394.968114285715</v>
      </c>
      <c r="W157" s="59">
        <f t="shared" si="83"/>
        <v>51424.158114285718</v>
      </c>
      <c r="X157" s="59">
        <f t="shared" si="83"/>
        <v>51426.188114285716</v>
      </c>
      <c r="Y157" s="59">
        <f t="shared" si="83"/>
        <v>51621.898114285716</v>
      </c>
      <c r="Z157" s="59">
        <f t="shared" si="83"/>
        <v>51602.964780952381</v>
      </c>
      <c r="AA157" s="59">
        <f t="shared" si="83"/>
        <v>51601.63478095238</v>
      </c>
      <c r="AB157" s="59">
        <f t="shared" si="83"/>
        <v>51601.56478095238</v>
      </c>
      <c r="AC157" s="59">
        <f t="shared" si="83"/>
        <v>59801.56478095238</v>
      </c>
      <c r="AD157" s="59">
        <f t="shared" si="83"/>
        <v>52175.49478095238</v>
      </c>
      <c r="AE157" s="59">
        <f t="shared" si="83"/>
        <v>51641.74478095238</v>
      </c>
    </row>
    <row r="158" spans="2:31" x14ac:dyDescent="0.25">
      <c r="B158" s="45" t="s">
        <v>118</v>
      </c>
      <c r="C158" s="43">
        <f t="shared" ref="C158:N158" si="84">C153-C157</f>
        <v>-738.62282285714286</v>
      </c>
      <c r="D158" s="43">
        <f t="shared" si="84"/>
        <v>-738.62282285714286</v>
      </c>
      <c r="E158" s="43">
        <f t="shared" si="84"/>
        <v>-738.62282285714286</v>
      </c>
      <c r="F158" s="43">
        <f t="shared" si="84"/>
        <v>-738.62282285714286</v>
      </c>
      <c r="G158" s="43">
        <f t="shared" si="84"/>
        <v>-738.62282285714286</v>
      </c>
      <c r="H158" s="43">
        <f t="shared" si="84"/>
        <v>-771.20615619047612</v>
      </c>
      <c r="I158" s="43">
        <f t="shared" si="84"/>
        <v>-771.20615619047612</v>
      </c>
      <c r="J158" s="43">
        <f t="shared" si="84"/>
        <v>-771.20615619047612</v>
      </c>
      <c r="K158" s="43">
        <f t="shared" si="84"/>
        <v>-771.20615619047612</v>
      </c>
      <c r="L158" s="43">
        <f t="shared" si="84"/>
        <v>-771.20615619047612</v>
      </c>
      <c r="M158" s="43">
        <f t="shared" si="84"/>
        <v>-771.20615619047612</v>
      </c>
      <c r="N158" s="43">
        <f t="shared" si="84"/>
        <v>-771.20615619047612</v>
      </c>
      <c r="O158" s="34"/>
      <c r="P158" s="34"/>
      <c r="S158" s="34" t="s">
        <v>132</v>
      </c>
      <c r="T158" s="34">
        <f>AE60</f>
        <v>-446529.4957142857</v>
      </c>
      <c r="U158" s="34">
        <f t="shared" ref="U158:AE158" si="85">T160</f>
        <v>-491662.06950857141</v>
      </c>
      <c r="V158" s="34">
        <f t="shared" si="85"/>
        <v>-535032.18362285709</v>
      </c>
      <c r="W158" s="34">
        <f t="shared" si="85"/>
        <v>-578081.40773714276</v>
      </c>
      <c r="X158" s="34">
        <f t="shared" si="85"/>
        <v>-621130.82185142848</v>
      </c>
      <c r="Y158" s="34">
        <f t="shared" si="85"/>
        <v>-664179.26596571424</v>
      </c>
      <c r="Z158" s="34">
        <f t="shared" si="85"/>
        <v>-707228.42007999995</v>
      </c>
      <c r="AA158" s="34">
        <f t="shared" si="85"/>
        <v>-750277.64086095232</v>
      </c>
      <c r="AB158" s="34">
        <f t="shared" si="85"/>
        <v>-793326.53164190473</v>
      </c>
      <c r="AC158" s="34">
        <f t="shared" si="85"/>
        <v>-836375.35242285707</v>
      </c>
      <c r="AD158" s="34">
        <f t="shared" si="85"/>
        <v>-879425.17320380942</v>
      </c>
      <c r="AE158" s="34">
        <f t="shared" si="85"/>
        <v>-922473.92398476182</v>
      </c>
    </row>
    <row r="159" spans="2:31" x14ac:dyDescent="0.25">
      <c r="B159" s="59" t="s">
        <v>81</v>
      </c>
      <c r="C159" s="59">
        <f>P67</f>
        <v>-739.04714285714294</v>
      </c>
      <c r="D159" s="59">
        <f t="shared" ref="D159:N159" si="86">C158</f>
        <v>-738.62282285714286</v>
      </c>
      <c r="E159" s="59">
        <f t="shared" si="86"/>
        <v>-738.62282285714286</v>
      </c>
      <c r="F159" s="59">
        <f t="shared" si="86"/>
        <v>-738.62282285714286</v>
      </c>
      <c r="G159" s="59">
        <f t="shared" si="86"/>
        <v>-738.62282285714286</v>
      </c>
      <c r="H159" s="59">
        <f t="shared" si="86"/>
        <v>-738.62282285714286</v>
      </c>
      <c r="I159" s="59">
        <f t="shared" si="86"/>
        <v>-771.20615619047612</v>
      </c>
      <c r="J159" s="59">
        <f t="shared" si="86"/>
        <v>-771.20615619047612</v>
      </c>
      <c r="K159" s="59">
        <f t="shared" si="86"/>
        <v>-771.20615619047612</v>
      </c>
      <c r="L159" s="59">
        <f t="shared" si="86"/>
        <v>-771.20615619047612</v>
      </c>
      <c r="M159" s="59">
        <f t="shared" si="86"/>
        <v>-771.20615619047612</v>
      </c>
      <c r="N159" s="59">
        <f t="shared" si="86"/>
        <v>-771.20615619047612</v>
      </c>
      <c r="O159" s="60" t="s">
        <v>119</v>
      </c>
      <c r="P159" s="61">
        <f>N158</f>
        <v>-771.20615619047612</v>
      </c>
      <c r="S159" s="34" t="s">
        <v>133</v>
      </c>
      <c r="T159" s="34">
        <f t="shared" ref="T159:AE159" si="87">T154-T157</f>
        <v>-45132.573794285716</v>
      </c>
      <c r="U159" s="34">
        <f t="shared" si="87"/>
        <v>-43370.114114285716</v>
      </c>
      <c r="V159" s="34">
        <f t="shared" si="87"/>
        <v>-43049.224114285716</v>
      </c>
      <c r="W159" s="34">
        <f t="shared" si="87"/>
        <v>-43049.414114285719</v>
      </c>
      <c r="X159" s="34">
        <f t="shared" si="87"/>
        <v>-43048.444114285718</v>
      </c>
      <c r="Y159" s="34">
        <f t="shared" si="87"/>
        <v>-43049.154114285717</v>
      </c>
      <c r="Z159" s="34">
        <f t="shared" si="87"/>
        <v>-43049.220780952382</v>
      </c>
      <c r="AA159" s="34">
        <f t="shared" si="87"/>
        <v>-43048.890780952381</v>
      </c>
      <c r="AB159" s="34">
        <f t="shared" si="87"/>
        <v>-43048.820780952381</v>
      </c>
      <c r="AC159" s="34">
        <f t="shared" si="87"/>
        <v>-43049.820780952381</v>
      </c>
      <c r="AD159" s="34">
        <f t="shared" si="87"/>
        <v>-43048.750780952381</v>
      </c>
      <c r="AE159" s="34">
        <f t="shared" si="87"/>
        <v>-43049.000780952381</v>
      </c>
    </row>
    <row r="160" spans="2:31" x14ac:dyDescent="0.25">
      <c r="S160" s="34" t="s">
        <v>214</v>
      </c>
      <c r="T160" s="34">
        <f t="shared" ref="T160:AE160" si="88">T158+T159</f>
        <v>-491662.06950857141</v>
      </c>
      <c r="U160" s="34">
        <f t="shared" si="88"/>
        <v>-535032.18362285709</v>
      </c>
      <c r="V160" s="34">
        <f t="shared" si="88"/>
        <v>-578081.40773714276</v>
      </c>
      <c r="W160" s="34">
        <f t="shared" si="88"/>
        <v>-621130.82185142848</v>
      </c>
      <c r="X160" s="34">
        <f t="shared" si="88"/>
        <v>-664179.26596571424</v>
      </c>
      <c r="Y160" s="34">
        <f t="shared" si="88"/>
        <v>-707228.42007999995</v>
      </c>
      <c r="Z160" s="34">
        <f t="shared" si="88"/>
        <v>-750277.64086095232</v>
      </c>
      <c r="AA160" s="34">
        <f t="shared" si="88"/>
        <v>-793326.53164190473</v>
      </c>
      <c r="AB160" s="34">
        <f t="shared" si="88"/>
        <v>-836375.35242285707</v>
      </c>
      <c r="AC160" s="34">
        <f t="shared" si="88"/>
        <v>-879425.17320380942</v>
      </c>
      <c r="AD160" s="34">
        <f t="shared" si="88"/>
        <v>-922473.92398476182</v>
      </c>
      <c r="AE160" s="34">
        <f t="shared" si="88"/>
        <v>-965522.92476571421</v>
      </c>
    </row>
    <row r="162" spans="2:31" x14ac:dyDescent="0.25">
      <c r="B162" s="288" t="s">
        <v>151</v>
      </c>
      <c r="C162" s="288"/>
      <c r="D162" s="288"/>
      <c r="E162" s="288"/>
      <c r="F162" s="288"/>
      <c r="G162" s="288"/>
      <c r="H162" s="288"/>
      <c r="I162" s="288"/>
      <c r="J162" s="288"/>
      <c r="K162" s="288"/>
      <c r="L162" s="288"/>
      <c r="M162" s="288"/>
      <c r="N162" s="288"/>
      <c r="O162" s="288"/>
      <c r="P162" s="288"/>
    </row>
    <row r="163" spans="2:31" x14ac:dyDescent="0.25">
      <c r="B163" s="213"/>
      <c r="C163" s="215" t="s">
        <v>50</v>
      </c>
      <c r="D163" s="215" t="s">
        <v>51</v>
      </c>
      <c r="E163" s="215" t="s">
        <v>52</v>
      </c>
      <c r="F163" s="215" t="s">
        <v>53</v>
      </c>
      <c r="G163" s="215" t="s">
        <v>54</v>
      </c>
      <c r="H163" s="215" t="s">
        <v>55</v>
      </c>
      <c r="I163" s="215" t="s">
        <v>56</v>
      </c>
      <c r="J163" s="215" t="s">
        <v>57</v>
      </c>
      <c r="K163" s="215" t="s">
        <v>58</v>
      </c>
      <c r="L163" s="215" t="s">
        <v>59</v>
      </c>
      <c r="M163" s="215" t="s">
        <v>60</v>
      </c>
      <c r="N163" s="215" t="s">
        <v>61</v>
      </c>
      <c r="O163" s="220" t="s">
        <v>62</v>
      </c>
      <c r="P163" s="221"/>
    </row>
    <row r="164" spans="2:31" x14ac:dyDescent="0.25">
      <c r="B164" s="214"/>
      <c r="C164" s="216"/>
      <c r="D164" s="216"/>
      <c r="E164" s="216"/>
      <c r="F164" s="216"/>
      <c r="G164" s="216"/>
      <c r="H164" s="216"/>
      <c r="I164" s="216"/>
      <c r="J164" s="216"/>
      <c r="K164" s="216"/>
      <c r="L164" s="216"/>
      <c r="M164" s="216"/>
      <c r="N164" s="216"/>
      <c r="O164" s="58" t="s">
        <v>64</v>
      </c>
      <c r="P164" s="58" t="s">
        <v>65</v>
      </c>
      <c r="S164" s="228" t="s">
        <v>138</v>
      </c>
      <c r="T164" s="229"/>
      <c r="V164" s="224" t="s">
        <v>222</v>
      </c>
      <c r="W164" s="224"/>
      <c r="X164" s="224"/>
      <c r="Y164" s="224"/>
      <c r="Z164" s="224"/>
      <c r="AA164" s="224"/>
    </row>
    <row r="165" spans="2:31" ht="30" x14ac:dyDescent="0.25">
      <c r="B165" s="35" t="s">
        <v>121</v>
      </c>
      <c r="C165" s="35">
        <f t="shared" ref="C165:N165" si="89">C101</f>
        <v>6364.8</v>
      </c>
      <c r="D165" s="35">
        <f t="shared" si="89"/>
        <v>6555.7439999999997</v>
      </c>
      <c r="E165" s="35">
        <f t="shared" si="89"/>
        <v>6555.7439999999997</v>
      </c>
      <c r="F165" s="35">
        <f t="shared" si="89"/>
        <v>6555.7439999999997</v>
      </c>
      <c r="G165" s="35">
        <f t="shared" si="89"/>
        <v>6555.7439999999997</v>
      </c>
      <c r="H165" s="35">
        <f t="shared" si="89"/>
        <v>6555.7439999999997</v>
      </c>
      <c r="I165" s="35">
        <f t="shared" si="89"/>
        <v>6555.7439999999997</v>
      </c>
      <c r="J165" s="43">
        <f t="shared" si="89"/>
        <v>6555.7439999999997</v>
      </c>
      <c r="K165" s="35">
        <f t="shared" si="89"/>
        <v>6555.7439999999997</v>
      </c>
      <c r="L165" s="35">
        <f t="shared" si="89"/>
        <v>6555.7439999999997</v>
      </c>
      <c r="M165" s="35">
        <f t="shared" si="89"/>
        <v>6555.7439999999997</v>
      </c>
      <c r="N165" s="35">
        <f t="shared" si="89"/>
        <v>6555.7439999999997</v>
      </c>
      <c r="O165" s="34"/>
      <c r="P165" s="34"/>
      <c r="S165" s="143" t="s">
        <v>1</v>
      </c>
      <c r="T165" s="21">
        <f>P98</f>
        <v>65557.440000000017</v>
      </c>
      <c r="V165" s="144" t="s">
        <v>2</v>
      </c>
      <c r="W165" s="145" t="s">
        <v>3</v>
      </c>
      <c r="X165" s="145" t="s">
        <v>4</v>
      </c>
      <c r="Y165" s="145" t="s">
        <v>5</v>
      </c>
      <c r="Z165" s="146" t="s">
        <v>6</v>
      </c>
      <c r="AA165" s="147" t="s">
        <v>5</v>
      </c>
      <c r="AB165" s="287"/>
      <c r="AC165" s="286"/>
      <c r="AD165" s="286"/>
      <c r="AE165" s="286"/>
    </row>
    <row r="166" spans="2:31" x14ac:dyDescent="0.25">
      <c r="B166" s="34" t="s">
        <v>122</v>
      </c>
      <c r="C166" s="34"/>
      <c r="D166" s="34"/>
      <c r="E166" s="34"/>
      <c r="F166" s="34"/>
      <c r="G166" s="34"/>
      <c r="H166" s="34"/>
      <c r="I166" s="34"/>
      <c r="J166" s="34"/>
      <c r="K166" s="34"/>
      <c r="L166" s="34"/>
      <c r="M166" s="34"/>
      <c r="N166" s="34"/>
      <c r="O166" s="34"/>
      <c r="P166" s="34"/>
      <c r="S166" s="143" t="s">
        <v>67</v>
      </c>
      <c r="T166" s="21">
        <v>0</v>
      </c>
      <c r="V166" s="148" t="s">
        <v>8</v>
      </c>
      <c r="W166" s="148">
        <f>SUM(W167:W170)</f>
        <v>214000</v>
      </c>
      <c r="X166" s="148">
        <f>SUM(X167:X168)</f>
        <v>54100</v>
      </c>
      <c r="Y166" s="148">
        <f>SUM(Y167:Y168)</f>
        <v>159900</v>
      </c>
      <c r="Z166" s="148" t="s">
        <v>9</v>
      </c>
      <c r="AA166" s="149">
        <f>SUM(AA167:AA170)</f>
        <v>-885752.97460952378</v>
      </c>
      <c r="AB166" s="287"/>
      <c r="AC166" s="286"/>
      <c r="AD166" s="286"/>
      <c r="AE166" s="286"/>
    </row>
    <row r="167" spans="2:31" ht="30" x14ac:dyDescent="0.25">
      <c r="B167" s="59" t="s">
        <v>123</v>
      </c>
      <c r="C167" s="59">
        <f t="shared" ref="C167:N167" si="90">C166+C165</f>
        <v>6364.8</v>
      </c>
      <c r="D167" s="59">
        <f t="shared" si="90"/>
        <v>6555.7439999999997</v>
      </c>
      <c r="E167" s="59">
        <f t="shared" si="90"/>
        <v>6555.7439999999997</v>
      </c>
      <c r="F167" s="59">
        <f t="shared" si="90"/>
        <v>6555.7439999999997</v>
      </c>
      <c r="G167" s="59">
        <f t="shared" si="90"/>
        <v>6555.7439999999997</v>
      </c>
      <c r="H167" s="59">
        <f t="shared" si="90"/>
        <v>6555.7439999999997</v>
      </c>
      <c r="I167" s="59">
        <f t="shared" si="90"/>
        <v>6555.7439999999997</v>
      </c>
      <c r="J167" s="59">
        <f t="shared" si="90"/>
        <v>6555.7439999999997</v>
      </c>
      <c r="K167" s="59">
        <f t="shared" si="90"/>
        <v>6555.7439999999997</v>
      </c>
      <c r="L167" s="59">
        <f t="shared" si="90"/>
        <v>6555.7439999999997</v>
      </c>
      <c r="M167" s="59">
        <f t="shared" si="90"/>
        <v>6555.7439999999997</v>
      </c>
      <c r="N167" s="59">
        <f t="shared" si="90"/>
        <v>6555.7439999999997</v>
      </c>
      <c r="O167" s="34"/>
      <c r="P167" s="34"/>
      <c r="S167" s="144" t="s">
        <v>10</v>
      </c>
      <c r="T167" s="131">
        <f>T165+T166</f>
        <v>65557.440000000017</v>
      </c>
      <c r="V167" s="150" t="s">
        <v>11</v>
      </c>
      <c r="W167" s="150">
        <f>W74</f>
        <v>159000</v>
      </c>
      <c r="X167" s="150">
        <f>X74+P124*0.75</f>
        <v>19750</v>
      </c>
      <c r="Y167" s="150">
        <f>W167-X167</f>
        <v>139250</v>
      </c>
      <c r="Z167" s="150" t="s">
        <v>12</v>
      </c>
      <c r="AA167" s="151">
        <f>AA74</f>
        <v>80000</v>
      </c>
      <c r="AB167" s="162"/>
      <c r="AC167" s="118"/>
      <c r="AD167" s="118"/>
      <c r="AE167" s="118"/>
    </row>
    <row r="168" spans="2:31" x14ac:dyDescent="0.25">
      <c r="B168" s="34" t="s">
        <v>124</v>
      </c>
      <c r="C168" s="34">
        <f t="shared" ref="C168:N168" si="91">C110</f>
        <v>2097.83808</v>
      </c>
      <c r="D168" s="34">
        <f t="shared" si="91"/>
        <v>2097.83808</v>
      </c>
      <c r="E168" s="34">
        <f t="shared" si="91"/>
        <v>2097.83808</v>
      </c>
      <c r="F168" s="34">
        <f t="shared" si="91"/>
        <v>2097.83808</v>
      </c>
      <c r="G168" s="34">
        <f t="shared" si="91"/>
        <v>2097.83808</v>
      </c>
      <c r="H168" s="34">
        <f t="shared" si="91"/>
        <v>2097.83808</v>
      </c>
      <c r="I168" s="34">
        <f t="shared" si="91"/>
        <v>2097.83808</v>
      </c>
      <c r="J168" s="34">
        <f t="shared" si="91"/>
        <v>2097.83808</v>
      </c>
      <c r="K168" s="34">
        <f t="shared" si="91"/>
        <v>2097.83808</v>
      </c>
      <c r="L168" s="34">
        <f t="shared" si="91"/>
        <v>2097.83808</v>
      </c>
      <c r="M168" s="34">
        <f t="shared" si="91"/>
        <v>2097.83808</v>
      </c>
      <c r="N168" s="34">
        <f t="shared" si="91"/>
        <v>2097.83808</v>
      </c>
      <c r="O168" s="34"/>
      <c r="P168" s="34"/>
      <c r="S168" s="143" t="s">
        <v>70</v>
      </c>
      <c r="T168" s="21">
        <f>P107</f>
        <v>20978.380799999999</v>
      </c>
      <c r="V168" s="150" t="s">
        <v>14</v>
      </c>
      <c r="W168" s="150">
        <f>W75</f>
        <v>55000</v>
      </c>
      <c r="X168" s="150">
        <f>X75+P124*0.25</f>
        <v>34350</v>
      </c>
      <c r="Y168" s="150">
        <f>W168-X168</f>
        <v>20650</v>
      </c>
      <c r="Z168" s="150" t="s">
        <v>15</v>
      </c>
      <c r="AA168" s="151">
        <v>5000</v>
      </c>
      <c r="AB168" s="152"/>
    </row>
    <row r="169" spans="2:31" x14ac:dyDescent="0.25">
      <c r="B169" s="34" t="s">
        <v>125</v>
      </c>
      <c r="C169" s="34"/>
      <c r="D169" s="34"/>
      <c r="E169" s="34"/>
      <c r="F169" s="34"/>
      <c r="G169" s="34"/>
      <c r="H169" s="34"/>
      <c r="I169" s="34"/>
      <c r="J169" s="34"/>
      <c r="K169" s="34"/>
      <c r="L169" s="34"/>
      <c r="M169" s="34"/>
      <c r="N169" s="34"/>
      <c r="O169" s="34"/>
      <c r="P169" s="34"/>
      <c r="S169" s="143" t="s">
        <v>73</v>
      </c>
      <c r="T169" s="21">
        <f>P116+P118+P119</f>
        <v>90036.845238095237</v>
      </c>
      <c r="V169" s="148"/>
      <c r="W169" s="148"/>
      <c r="X169" s="148"/>
      <c r="Y169" s="148"/>
      <c r="Z169" s="150" t="s">
        <v>17</v>
      </c>
      <c r="AA169" s="151">
        <f>AA76+AA77</f>
        <v>-474865.64857142855</v>
      </c>
      <c r="AB169" s="152"/>
    </row>
    <row r="170" spans="2:31" x14ac:dyDescent="0.25">
      <c r="B170" s="34" t="s">
        <v>126</v>
      </c>
      <c r="C170" s="34">
        <f t="shared" ref="C170:N170" si="92">C126</f>
        <v>25625</v>
      </c>
      <c r="D170" s="34">
        <f t="shared" si="92"/>
        <v>25625</v>
      </c>
      <c r="E170" s="34">
        <f t="shared" si="92"/>
        <v>25625</v>
      </c>
      <c r="F170" s="34">
        <f t="shared" si="92"/>
        <v>25625</v>
      </c>
      <c r="G170" s="34">
        <f t="shared" si="92"/>
        <v>25625</v>
      </c>
      <c r="H170" s="34">
        <f t="shared" si="92"/>
        <v>25625</v>
      </c>
      <c r="I170" s="34">
        <f t="shared" si="92"/>
        <v>25625</v>
      </c>
      <c r="J170" s="34">
        <f t="shared" si="92"/>
        <v>25625</v>
      </c>
      <c r="K170" s="34">
        <f t="shared" si="92"/>
        <v>25625</v>
      </c>
      <c r="L170" s="34">
        <f t="shared" si="92"/>
        <v>25625</v>
      </c>
      <c r="M170" s="34">
        <f t="shared" si="92"/>
        <v>25625</v>
      </c>
      <c r="N170" s="34">
        <f t="shared" si="92"/>
        <v>25625</v>
      </c>
      <c r="O170" s="34"/>
      <c r="P170" s="34"/>
      <c r="S170" s="143" t="s">
        <v>18</v>
      </c>
      <c r="T170" s="21">
        <f>P134</f>
        <v>8200</v>
      </c>
      <c r="V170" s="150"/>
      <c r="W170" s="150"/>
      <c r="X170" s="150"/>
      <c r="Y170" s="150"/>
      <c r="Z170" s="150" t="s">
        <v>19</v>
      </c>
      <c r="AA170" s="151">
        <f>T182</f>
        <v>-495887.32603809529</v>
      </c>
      <c r="AB170" s="152"/>
    </row>
    <row r="171" spans="2:31" x14ac:dyDescent="0.25">
      <c r="B171" s="34" t="s">
        <v>21</v>
      </c>
      <c r="C171" s="34">
        <f t="shared" ref="C171:N171" si="93">C128</f>
        <v>10250</v>
      </c>
      <c r="D171" s="34">
        <f t="shared" si="93"/>
        <v>10250</v>
      </c>
      <c r="E171" s="34">
        <f t="shared" si="93"/>
        <v>10250</v>
      </c>
      <c r="F171" s="34">
        <f t="shared" si="93"/>
        <v>10250</v>
      </c>
      <c r="G171" s="34">
        <f t="shared" si="93"/>
        <v>10250</v>
      </c>
      <c r="H171" s="34">
        <f t="shared" si="93"/>
        <v>10250</v>
      </c>
      <c r="I171" s="34">
        <f t="shared" si="93"/>
        <v>10250</v>
      </c>
      <c r="J171" s="34">
        <f t="shared" si="93"/>
        <v>10250</v>
      </c>
      <c r="K171" s="34">
        <f t="shared" si="93"/>
        <v>10250</v>
      </c>
      <c r="L171" s="34">
        <f t="shared" si="93"/>
        <v>10250</v>
      </c>
      <c r="M171" s="34">
        <f t="shared" si="93"/>
        <v>10250</v>
      </c>
      <c r="N171" s="34">
        <f t="shared" si="93"/>
        <v>10250</v>
      </c>
      <c r="O171" s="34"/>
      <c r="P171" s="34"/>
      <c r="S171" s="143" t="s">
        <v>20</v>
      </c>
      <c r="T171" s="21">
        <f>P126</f>
        <v>307500</v>
      </c>
      <c r="V171" s="152"/>
      <c r="W171" s="153"/>
      <c r="Y171" s="153"/>
      <c r="Z171" s="151"/>
      <c r="AA171" s="149"/>
      <c r="AB171" s="162"/>
      <c r="AC171" s="118"/>
      <c r="AD171" s="118"/>
      <c r="AE171" s="118"/>
    </row>
    <row r="172" spans="2:31" x14ac:dyDescent="0.25">
      <c r="B172" s="34" t="s">
        <v>102</v>
      </c>
      <c r="C172" s="34">
        <f t="shared" ref="C172:N172" si="94">C135</f>
        <v>0</v>
      </c>
      <c r="D172" s="34">
        <f t="shared" si="94"/>
        <v>0</v>
      </c>
      <c r="E172" s="34">
        <f t="shared" si="94"/>
        <v>0</v>
      </c>
      <c r="F172" s="34">
        <f t="shared" si="94"/>
        <v>0</v>
      </c>
      <c r="G172" s="34">
        <f t="shared" si="94"/>
        <v>0</v>
      </c>
      <c r="H172" s="34">
        <f t="shared" si="94"/>
        <v>0</v>
      </c>
      <c r="I172" s="34">
        <f t="shared" si="94"/>
        <v>0</v>
      </c>
      <c r="J172" s="34">
        <f t="shared" si="94"/>
        <v>0</v>
      </c>
      <c r="K172" s="34">
        <f t="shared" si="94"/>
        <v>0</v>
      </c>
      <c r="L172" s="34">
        <f t="shared" si="94"/>
        <v>8200</v>
      </c>
      <c r="M172" s="34">
        <f t="shared" si="94"/>
        <v>0</v>
      </c>
      <c r="N172" s="34">
        <f t="shared" si="94"/>
        <v>0</v>
      </c>
      <c r="O172" s="34"/>
      <c r="P172" s="34"/>
      <c r="S172" s="143" t="s">
        <v>21</v>
      </c>
      <c r="T172" s="21">
        <f>P127</f>
        <v>123000</v>
      </c>
      <c r="V172" s="148" t="s">
        <v>22</v>
      </c>
      <c r="W172" s="148">
        <f>SUM(W173:W175)</f>
        <v>-943967.18076571426</v>
      </c>
      <c r="X172" s="148">
        <f>SUM(X173:X175)</f>
        <v>0</v>
      </c>
      <c r="Y172" s="148">
        <f>SUM(Y173:Y175)</f>
        <v>-943967.18076571426</v>
      </c>
      <c r="Z172" s="148" t="s">
        <v>23</v>
      </c>
      <c r="AA172" s="149">
        <f>SUM(AA173:AA176)</f>
        <v>82663.79384380953</v>
      </c>
      <c r="AB172" s="152"/>
    </row>
    <row r="173" spans="2:31" ht="30" x14ac:dyDescent="0.25">
      <c r="B173" s="34" t="s">
        <v>127</v>
      </c>
      <c r="C173" s="34">
        <f t="shared" ref="C173:N173" si="95">C122</f>
        <v>8889.6428571428569</v>
      </c>
      <c r="D173" s="34">
        <f t="shared" si="95"/>
        <v>8889.6428571428569</v>
      </c>
      <c r="E173" s="34">
        <f t="shared" si="95"/>
        <v>8889.6428571428569</v>
      </c>
      <c r="F173" s="34">
        <f t="shared" si="95"/>
        <v>8889.6428571428569</v>
      </c>
      <c r="G173" s="34">
        <f t="shared" si="95"/>
        <v>8889.6428571428569</v>
      </c>
      <c r="H173" s="34">
        <f t="shared" si="95"/>
        <v>9085.1428571428569</v>
      </c>
      <c r="I173" s="34">
        <f t="shared" si="95"/>
        <v>9085.1428571428569</v>
      </c>
      <c r="J173" s="34">
        <f t="shared" si="95"/>
        <v>9085.1428571428569</v>
      </c>
      <c r="K173" s="34">
        <f t="shared" si="95"/>
        <v>9085.1428571428569</v>
      </c>
      <c r="L173" s="34">
        <f t="shared" si="95"/>
        <v>9085.1428571428569</v>
      </c>
      <c r="M173" s="34">
        <f t="shared" si="95"/>
        <v>9085.1428571428569</v>
      </c>
      <c r="N173" s="34">
        <f t="shared" si="95"/>
        <v>9085.1428571428569</v>
      </c>
      <c r="O173" s="34"/>
      <c r="P173" s="34"/>
      <c r="S173" s="143" t="s">
        <v>75</v>
      </c>
      <c r="T173" s="21">
        <f>P124</f>
        <v>7500</v>
      </c>
      <c r="V173" s="150" t="s">
        <v>25</v>
      </c>
      <c r="W173" s="150">
        <v>15000</v>
      </c>
      <c r="X173" s="150"/>
      <c r="Y173" s="150">
        <f>W173-X173</f>
        <v>15000</v>
      </c>
      <c r="Z173" s="150" t="s">
        <v>26</v>
      </c>
      <c r="AA173" s="151">
        <v>0</v>
      </c>
      <c r="AB173" s="152"/>
    </row>
    <row r="174" spans="2:31" x14ac:dyDescent="0.25">
      <c r="B174" s="34" t="s">
        <v>128</v>
      </c>
      <c r="C174" s="34">
        <f t="shared" ref="C174:N174" si="96">C138</f>
        <v>5175</v>
      </c>
      <c r="D174" s="34">
        <f t="shared" si="96"/>
        <v>5175</v>
      </c>
      <c r="E174" s="34">
        <f t="shared" si="96"/>
        <v>5175</v>
      </c>
      <c r="F174" s="34">
        <f t="shared" si="96"/>
        <v>5175</v>
      </c>
      <c r="G174" s="34">
        <f t="shared" si="96"/>
        <v>5175</v>
      </c>
      <c r="H174" s="34">
        <f t="shared" si="96"/>
        <v>5175</v>
      </c>
      <c r="I174" s="34">
        <f t="shared" si="96"/>
        <v>5175</v>
      </c>
      <c r="J174" s="34">
        <f t="shared" si="96"/>
        <v>5175</v>
      </c>
      <c r="K174" s="34">
        <f t="shared" si="96"/>
        <v>5175</v>
      </c>
      <c r="L174" s="34">
        <f t="shared" si="96"/>
        <v>5175</v>
      </c>
      <c r="M174" s="34">
        <f t="shared" si="96"/>
        <v>5175</v>
      </c>
      <c r="N174" s="34">
        <f t="shared" si="96"/>
        <v>5175</v>
      </c>
      <c r="O174" s="34"/>
      <c r="P174" s="34"/>
      <c r="S174" s="144" t="s">
        <v>76</v>
      </c>
      <c r="T174" s="131">
        <f>SUM(T168:T173)</f>
        <v>557215.22603809531</v>
      </c>
      <c r="V174" s="150" t="s">
        <v>28</v>
      </c>
      <c r="W174" s="150">
        <f>P101</f>
        <v>6555.7439999999997</v>
      </c>
      <c r="X174" s="150"/>
      <c r="Y174" s="150">
        <f>W174-X174</f>
        <v>6555.7439999999997</v>
      </c>
      <c r="Z174" s="150" t="s">
        <v>29</v>
      </c>
      <c r="AA174" s="151">
        <v>0</v>
      </c>
      <c r="AB174" s="162"/>
      <c r="AC174" s="118"/>
      <c r="AD174" s="118"/>
      <c r="AE174" s="118"/>
    </row>
    <row r="175" spans="2:31" x14ac:dyDescent="0.25">
      <c r="B175" s="34" t="s">
        <v>129</v>
      </c>
      <c r="C175" s="34">
        <f t="shared" ref="C175:N175" si="97">C146</f>
        <v>0</v>
      </c>
      <c r="D175" s="34">
        <f t="shared" si="97"/>
        <v>0</v>
      </c>
      <c r="E175" s="34">
        <f t="shared" si="97"/>
        <v>0</v>
      </c>
      <c r="F175" s="34">
        <f t="shared" si="97"/>
        <v>0</v>
      </c>
      <c r="G175" s="34">
        <f t="shared" si="97"/>
        <v>0</v>
      </c>
      <c r="H175" s="34">
        <f t="shared" si="97"/>
        <v>0</v>
      </c>
      <c r="I175" s="34">
        <f t="shared" si="97"/>
        <v>0</v>
      </c>
      <c r="J175" s="34">
        <f t="shared" si="97"/>
        <v>0</v>
      </c>
      <c r="K175" s="34">
        <f t="shared" si="97"/>
        <v>0</v>
      </c>
      <c r="L175" s="34">
        <f t="shared" si="97"/>
        <v>0</v>
      </c>
      <c r="M175" s="34">
        <f t="shared" si="97"/>
        <v>0</v>
      </c>
      <c r="N175" s="34">
        <f t="shared" si="97"/>
        <v>0</v>
      </c>
      <c r="O175" s="34"/>
      <c r="P175" s="34"/>
      <c r="S175" s="154" t="s">
        <v>30</v>
      </c>
      <c r="T175" s="155">
        <f>T167-T174</f>
        <v>-491657.78603809531</v>
      </c>
      <c r="V175" s="150" t="s">
        <v>34</v>
      </c>
      <c r="W175" s="150">
        <f>AE160</f>
        <v>-965522.92476571421</v>
      </c>
      <c r="X175" s="150"/>
      <c r="Y175" s="150">
        <f>W175-X175</f>
        <v>-965522.92476571421</v>
      </c>
      <c r="Z175" s="150" t="s">
        <v>32</v>
      </c>
      <c r="AA175" s="151">
        <f>P159+P128</f>
        <v>9478.7938438095243</v>
      </c>
      <c r="AB175" s="152"/>
    </row>
    <row r="176" spans="2:31" x14ac:dyDescent="0.25">
      <c r="B176" s="34" t="s">
        <v>130</v>
      </c>
      <c r="C176" s="34">
        <f>C159</f>
        <v>-739.04714285714294</v>
      </c>
      <c r="D176" s="34">
        <f t="shared" ref="D176:N176" si="98">D159</f>
        <v>-738.62282285714286</v>
      </c>
      <c r="E176" s="34">
        <f t="shared" si="98"/>
        <v>-738.62282285714286</v>
      </c>
      <c r="F176" s="34">
        <f t="shared" si="98"/>
        <v>-738.62282285714286</v>
      </c>
      <c r="G176" s="34">
        <f t="shared" si="98"/>
        <v>-738.62282285714286</v>
      </c>
      <c r="H176" s="34">
        <f t="shared" si="98"/>
        <v>-738.62282285714286</v>
      </c>
      <c r="I176" s="34">
        <f t="shared" si="98"/>
        <v>-771.20615619047612</v>
      </c>
      <c r="J176" s="34">
        <f t="shared" si="98"/>
        <v>-771.20615619047612</v>
      </c>
      <c r="K176" s="34">
        <f t="shared" si="98"/>
        <v>-771.20615619047612</v>
      </c>
      <c r="L176" s="34">
        <f t="shared" si="98"/>
        <v>-771.20615619047612</v>
      </c>
      <c r="M176" s="34">
        <f t="shared" si="98"/>
        <v>-771.20615619047612</v>
      </c>
      <c r="N176" s="34">
        <f t="shared" si="98"/>
        <v>-771.20615619047612</v>
      </c>
      <c r="O176" s="34"/>
      <c r="P176" s="34"/>
      <c r="S176" s="144" t="s">
        <v>33</v>
      </c>
      <c r="T176" s="131">
        <v>0</v>
      </c>
      <c r="V176" s="150"/>
      <c r="W176" s="150"/>
      <c r="X176" s="150"/>
      <c r="Y176" s="150"/>
      <c r="Z176" s="150" t="s">
        <v>221</v>
      </c>
      <c r="AA176" s="151">
        <f>SUM(T153:AE153)+AA83</f>
        <v>73185</v>
      </c>
      <c r="AB176" s="152"/>
    </row>
    <row r="177" spans="2:28" x14ac:dyDescent="0.25">
      <c r="B177" s="59" t="s">
        <v>131</v>
      </c>
      <c r="C177" s="59">
        <f>SUM(C168:C176)</f>
        <v>51298.433794285716</v>
      </c>
      <c r="D177" s="59">
        <f t="shared" ref="D177:N177" si="99">SUM(D168:D176)</f>
        <v>51298.858114285715</v>
      </c>
      <c r="E177" s="59">
        <f t="shared" si="99"/>
        <v>51298.858114285715</v>
      </c>
      <c r="F177" s="59">
        <f t="shared" si="99"/>
        <v>51298.858114285715</v>
      </c>
      <c r="G177" s="59">
        <f t="shared" si="99"/>
        <v>51298.858114285715</v>
      </c>
      <c r="H177" s="59">
        <f t="shared" si="99"/>
        <v>51494.358114285715</v>
      </c>
      <c r="I177" s="59">
        <f t="shared" si="99"/>
        <v>51461.774780952379</v>
      </c>
      <c r="J177" s="59">
        <f t="shared" si="99"/>
        <v>51461.774780952379</v>
      </c>
      <c r="K177" s="59">
        <f t="shared" si="99"/>
        <v>51461.774780952379</v>
      </c>
      <c r="L177" s="59">
        <f t="shared" si="99"/>
        <v>59661.774780952379</v>
      </c>
      <c r="M177" s="59">
        <f t="shared" si="99"/>
        <v>51461.774780952379</v>
      </c>
      <c r="N177" s="59">
        <f t="shared" si="99"/>
        <v>51461.774780952379</v>
      </c>
      <c r="O177" s="34"/>
      <c r="P177" s="34"/>
      <c r="S177" s="143" t="s">
        <v>36</v>
      </c>
      <c r="T177" s="21">
        <f>P136+SUM(T156:AE156)</f>
        <v>4229.54</v>
      </c>
      <c r="V177" s="156" t="s">
        <v>38</v>
      </c>
      <c r="W177" s="156">
        <f>W166+W172</f>
        <v>-729967.18076571426</v>
      </c>
      <c r="X177" s="156">
        <f>X166</f>
        <v>54100</v>
      </c>
      <c r="Y177" s="156">
        <f>W177-X177</f>
        <v>-784067.18076571426</v>
      </c>
      <c r="Z177" s="156" t="s">
        <v>39</v>
      </c>
      <c r="AA177" s="157">
        <f>AA166+AA172</f>
        <v>-803089.18076571426</v>
      </c>
      <c r="AB177" s="152"/>
    </row>
    <row r="178" spans="2:28" x14ac:dyDescent="0.25">
      <c r="B178" s="59" t="s">
        <v>132</v>
      </c>
      <c r="C178" s="59">
        <f>W82</f>
        <v>-446529.4957142857</v>
      </c>
      <c r="D178" s="59">
        <f t="shared" ref="D178:N178" si="100">C180</f>
        <v>-491463.12950857141</v>
      </c>
      <c r="E178" s="59">
        <f t="shared" si="100"/>
        <v>-536206.24362285715</v>
      </c>
      <c r="F178" s="59">
        <f t="shared" si="100"/>
        <v>-580949.35773714283</v>
      </c>
      <c r="G178" s="59">
        <f t="shared" si="100"/>
        <v>-625692.47185142851</v>
      </c>
      <c r="H178" s="59">
        <f t="shared" si="100"/>
        <v>-670435.58596571418</v>
      </c>
      <c r="I178" s="59">
        <f t="shared" si="100"/>
        <v>-715374.20007999986</v>
      </c>
      <c r="J178" s="59">
        <f t="shared" si="100"/>
        <v>-760280.23086095229</v>
      </c>
      <c r="K178" s="59">
        <f t="shared" si="100"/>
        <v>-805186.26164190471</v>
      </c>
      <c r="L178" s="59">
        <f t="shared" si="100"/>
        <v>-850092.29242285714</v>
      </c>
      <c r="M178" s="59">
        <f t="shared" si="100"/>
        <v>-903198.32320380956</v>
      </c>
      <c r="N178" s="59">
        <f t="shared" si="100"/>
        <v>-948104.35398476198</v>
      </c>
      <c r="O178" s="34"/>
      <c r="P178" s="34"/>
      <c r="S178" s="144" t="s">
        <v>37</v>
      </c>
      <c r="T178" s="131">
        <f>T177</f>
        <v>4229.54</v>
      </c>
      <c r="Z178" s="158" t="s">
        <v>42</v>
      </c>
      <c r="AA178" s="159">
        <f>Y177-AA177</f>
        <v>19022</v>
      </c>
    </row>
    <row r="179" spans="2:28" x14ac:dyDescent="0.25">
      <c r="B179" s="34" t="s">
        <v>133</v>
      </c>
      <c r="C179" s="34">
        <f t="shared" ref="C179:N179" si="101">C167-C177</f>
        <v>-44933.633794285714</v>
      </c>
      <c r="D179" s="34">
        <f t="shared" si="101"/>
        <v>-44743.114114285716</v>
      </c>
      <c r="E179" s="34">
        <f t="shared" si="101"/>
        <v>-44743.114114285716</v>
      </c>
      <c r="F179" s="34">
        <f t="shared" si="101"/>
        <v>-44743.114114285716</v>
      </c>
      <c r="G179" s="34">
        <f t="shared" si="101"/>
        <v>-44743.114114285716</v>
      </c>
      <c r="H179" s="34">
        <f t="shared" si="101"/>
        <v>-44938.614114285716</v>
      </c>
      <c r="I179" s="34">
        <f t="shared" si="101"/>
        <v>-44906.03078095238</v>
      </c>
      <c r="J179" s="34">
        <f t="shared" si="101"/>
        <v>-44906.03078095238</v>
      </c>
      <c r="K179" s="34">
        <f t="shared" si="101"/>
        <v>-44906.03078095238</v>
      </c>
      <c r="L179" s="34">
        <f t="shared" si="101"/>
        <v>-53106.03078095238</v>
      </c>
      <c r="M179" s="34">
        <f t="shared" si="101"/>
        <v>-44906.03078095238</v>
      </c>
      <c r="N179" s="34">
        <f t="shared" si="101"/>
        <v>-44906.03078095238</v>
      </c>
      <c r="O179" s="34"/>
      <c r="P179" s="34"/>
      <c r="S179" s="154" t="s">
        <v>40</v>
      </c>
      <c r="T179" s="155">
        <f>T176-T178</f>
        <v>-4229.54</v>
      </c>
    </row>
    <row r="180" spans="2:28" x14ac:dyDescent="0.25">
      <c r="B180" s="59" t="s">
        <v>134</v>
      </c>
      <c r="C180" s="59">
        <f t="shared" ref="C180:N180" si="102">C178+C179</f>
        <v>-491463.12950857141</v>
      </c>
      <c r="D180" s="59">
        <f t="shared" si="102"/>
        <v>-536206.24362285715</v>
      </c>
      <c r="E180" s="59">
        <f t="shared" si="102"/>
        <v>-580949.35773714283</v>
      </c>
      <c r="F180" s="59">
        <f t="shared" si="102"/>
        <v>-625692.47185142851</v>
      </c>
      <c r="G180" s="59">
        <f t="shared" si="102"/>
        <v>-670435.58596571418</v>
      </c>
      <c r="H180" s="59">
        <f t="shared" si="102"/>
        <v>-715374.20007999986</v>
      </c>
      <c r="I180" s="59">
        <f t="shared" si="102"/>
        <v>-760280.23086095229</v>
      </c>
      <c r="J180" s="59">
        <f t="shared" si="102"/>
        <v>-805186.26164190471</v>
      </c>
      <c r="K180" s="59">
        <f t="shared" si="102"/>
        <v>-850092.29242285714</v>
      </c>
      <c r="L180" s="59">
        <f t="shared" si="102"/>
        <v>-903198.32320380956</v>
      </c>
      <c r="M180" s="59">
        <f t="shared" si="102"/>
        <v>-948104.35398476198</v>
      </c>
      <c r="N180" s="59">
        <f t="shared" si="102"/>
        <v>-993010.38476571441</v>
      </c>
      <c r="O180" s="60" t="s">
        <v>135</v>
      </c>
      <c r="P180" s="61">
        <f>N180</f>
        <v>-993010.38476571441</v>
      </c>
      <c r="S180" s="154" t="s">
        <v>43</v>
      </c>
      <c r="T180" s="155">
        <f>T175-(-T179)</f>
        <v>-495887.32603809529</v>
      </c>
    </row>
    <row r="181" spans="2:28" x14ac:dyDescent="0.25">
      <c r="S181" s="154" t="s">
        <v>45</v>
      </c>
      <c r="T181" s="21"/>
    </row>
    <row r="182" spans="2:28" x14ac:dyDescent="0.25">
      <c r="S182" s="160" t="s">
        <v>47</v>
      </c>
      <c r="T182" s="161">
        <f>T180</f>
        <v>-495887.32603809529</v>
      </c>
    </row>
    <row r="183" spans="2:28" ht="28.5" x14ac:dyDescent="0.45">
      <c r="B183" s="289" t="s">
        <v>152</v>
      </c>
      <c r="C183" s="289"/>
      <c r="D183" s="289"/>
      <c r="E183" s="289"/>
      <c r="F183" s="289"/>
      <c r="G183" s="289"/>
      <c r="H183" s="289"/>
      <c r="I183" s="289"/>
      <c r="J183" s="289"/>
      <c r="K183" s="289"/>
      <c r="L183" s="289"/>
      <c r="M183" s="289"/>
      <c r="N183" s="289"/>
      <c r="O183" s="289"/>
      <c r="P183" s="289"/>
    </row>
    <row r="186" spans="2:28" x14ac:dyDescent="0.25">
      <c r="B186" s="288" t="s">
        <v>153</v>
      </c>
      <c r="C186" s="288"/>
      <c r="D186" s="288"/>
      <c r="E186" s="288"/>
      <c r="F186" s="288"/>
      <c r="G186" s="288"/>
      <c r="H186" s="288"/>
      <c r="I186" s="288"/>
      <c r="J186" s="288"/>
      <c r="K186" s="288"/>
      <c r="L186" s="288"/>
      <c r="M186" s="288"/>
      <c r="N186" s="288"/>
      <c r="O186" s="288"/>
      <c r="P186" s="288"/>
    </row>
    <row r="187" spans="2:28" x14ac:dyDescent="0.25">
      <c r="B187" s="213"/>
      <c r="C187" s="215" t="s">
        <v>50</v>
      </c>
      <c r="D187" s="215" t="s">
        <v>51</v>
      </c>
      <c r="E187" s="215" t="s">
        <v>52</v>
      </c>
      <c r="F187" s="215" t="s">
        <v>53</v>
      </c>
      <c r="G187" s="215" t="s">
        <v>54</v>
      </c>
      <c r="H187" s="215" t="s">
        <v>55</v>
      </c>
      <c r="I187" s="215" t="s">
        <v>56</v>
      </c>
      <c r="J187" s="215" t="s">
        <v>57</v>
      </c>
      <c r="K187" s="215" t="s">
        <v>58</v>
      </c>
      <c r="L187" s="215" t="s">
        <v>59</v>
      </c>
      <c r="M187" s="215" t="s">
        <v>60</v>
      </c>
      <c r="N187" s="215" t="s">
        <v>61</v>
      </c>
      <c r="O187" s="220" t="s">
        <v>62</v>
      </c>
      <c r="P187" s="221"/>
    </row>
    <row r="188" spans="2:28" x14ac:dyDescent="0.25">
      <c r="B188" s="214"/>
      <c r="C188" s="216"/>
      <c r="D188" s="216"/>
      <c r="E188" s="216"/>
      <c r="F188" s="216"/>
      <c r="G188" s="216"/>
      <c r="H188" s="216"/>
      <c r="I188" s="216"/>
      <c r="J188" s="216"/>
      <c r="K188" s="216"/>
      <c r="L188" s="216"/>
      <c r="M188" s="216"/>
      <c r="N188" s="216"/>
      <c r="O188" s="58" t="s">
        <v>64</v>
      </c>
      <c r="P188" s="58" t="s">
        <v>65</v>
      </c>
    </row>
    <row r="189" spans="2:28" x14ac:dyDescent="0.25">
      <c r="B189" s="35" t="s">
        <v>66</v>
      </c>
      <c r="C189" s="35">
        <f>$P$98*1.03/12</f>
        <v>5627.013600000002</v>
      </c>
      <c r="D189" s="35">
        <f t="shared" ref="D189:N189" si="103">$P$98*1.03/12</f>
        <v>5627.013600000002</v>
      </c>
      <c r="E189" s="35">
        <f t="shared" si="103"/>
        <v>5627.013600000002</v>
      </c>
      <c r="F189" s="35">
        <f t="shared" si="103"/>
        <v>5627.013600000002</v>
      </c>
      <c r="G189" s="35">
        <f t="shared" si="103"/>
        <v>5627.013600000002</v>
      </c>
      <c r="H189" s="35">
        <f t="shared" si="103"/>
        <v>5627.013600000002</v>
      </c>
      <c r="I189" s="35">
        <f t="shared" si="103"/>
        <v>5627.013600000002</v>
      </c>
      <c r="J189" s="35">
        <f t="shared" si="103"/>
        <v>5627.013600000002</v>
      </c>
      <c r="K189" s="35">
        <f t="shared" si="103"/>
        <v>5627.013600000002</v>
      </c>
      <c r="L189" s="35">
        <f t="shared" si="103"/>
        <v>5627.013600000002</v>
      </c>
      <c r="M189" s="35">
        <f t="shared" si="103"/>
        <v>5627.013600000002</v>
      </c>
      <c r="N189" s="35">
        <f t="shared" si="103"/>
        <v>5627.013600000002</v>
      </c>
      <c r="O189" s="60" t="s">
        <v>1</v>
      </c>
      <c r="P189" s="61">
        <f>SUM(C189:N189)</f>
        <v>67524.163200000039</v>
      </c>
    </row>
    <row r="190" spans="2:28" x14ac:dyDescent="0.25">
      <c r="B190" s="34" t="s">
        <v>68</v>
      </c>
      <c r="C190" s="34">
        <f t="shared" ref="C190:N190" si="104">C189*20%</f>
        <v>1125.4027200000005</v>
      </c>
      <c r="D190" s="34">
        <f t="shared" si="104"/>
        <v>1125.4027200000005</v>
      </c>
      <c r="E190" s="34">
        <f t="shared" si="104"/>
        <v>1125.4027200000005</v>
      </c>
      <c r="F190" s="34">
        <f t="shared" si="104"/>
        <v>1125.4027200000005</v>
      </c>
      <c r="G190" s="34">
        <f t="shared" si="104"/>
        <v>1125.4027200000005</v>
      </c>
      <c r="H190" s="34">
        <f t="shared" si="104"/>
        <v>1125.4027200000005</v>
      </c>
      <c r="I190" s="34">
        <f t="shared" si="104"/>
        <v>1125.4027200000005</v>
      </c>
      <c r="J190" s="34">
        <f t="shared" si="104"/>
        <v>1125.4027200000005</v>
      </c>
      <c r="K190" s="34">
        <f t="shared" si="104"/>
        <v>1125.4027200000005</v>
      </c>
      <c r="L190" s="34">
        <f t="shared" si="104"/>
        <v>1125.4027200000005</v>
      </c>
      <c r="M190" s="34">
        <f t="shared" si="104"/>
        <v>1125.4027200000005</v>
      </c>
      <c r="N190" s="34">
        <f t="shared" si="104"/>
        <v>1125.4027200000005</v>
      </c>
      <c r="O190" s="34"/>
      <c r="P190" s="34"/>
    </row>
    <row r="191" spans="2:28" x14ac:dyDescent="0.25">
      <c r="B191" s="34" t="s">
        <v>69</v>
      </c>
      <c r="C191" s="34">
        <f t="shared" ref="C191:N191" si="105">C189+C190</f>
        <v>6752.4163200000021</v>
      </c>
      <c r="D191" s="34">
        <f t="shared" si="105"/>
        <v>6752.4163200000021</v>
      </c>
      <c r="E191" s="34">
        <f t="shared" si="105"/>
        <v>6752.4163200000021</v>
      </c>
      <c r="F191" s="34">
        <f t="shared" si="105"/>
        <v>6752.4163200000021</v>
      </c>
      <c r="G191" s="34">
        <f t="shared" si="105"/>
        <v>6752.4163200000021</v>
      </c>
      <c r="H191" s="34">
        <f t="shared" si="105"/>
        <v>6752.4163200000021</v>
      </c>
      <c r="I191" s="34">
        <f t="shared" si="105"/>
        <v>6752.4163200000021</v>
      </c>
      <c r="J191" s="34">
        <f t="shared" si="105"/>
        <v>6752.4163200000021</v>
      </c>
      <c r="K191" s="34">
        <f t="shared" si="105"/>
        <v>6752.4163200000021</v>
      </c>
      <c r="L191" s="34">
        <f t="shared" si="105"/>
        <v>6752.4163200000021</v>
      </c>
      <c r="M191" s="34">
        <f t="shared" si="105"/>
        <v>6752.4163200000021</v>
      </c>
      <c r="N191" s="34">
        <f t="shared" si="105"/>
        <v>6752.4163200000021</v>
      </c>
      <c r="O191" s="34"/>
      <c r="P191" s="34"/>
    </row>
    <row r="192" spans="2:28" x14ac:dyDescent="0.25">
      <c r="B192" s="59" t="s">
        <v>139</v>
      </c>
      <c r="C192" s="59">
        <f>Y174</f>
        <v>6555.7439999999997</v>
      </c>
      <c r="D192" s="59">
        <f>C191</f>
        <v>6752.4163200000021</v>
      </c>
      <c r="E192" s="59">
        <f t="shared" ref="E192:N192" si="106">D191</f>
        <v>6752.4163200000021</v>
      </c>
      <c r="F192" s="59">
        <f t="shared" si="106"/>
        <v>6752.4163200000021</v>
      </c>
      <c r="G192" s="59">
        <f t="shared" si="106"/>
        <v>6752.4163200000021</v>
      </c>
      <c r="H192" s="59">
        <f t="shared" si="106"/>
        <v>6752.4163200000021</v>
      </c>
      <c r="I192" s="59">
        <f t="shared" si="106"/>
        <v>6752.4163200000021</v>
      </c>
      <c r="J192" s="59">
        <f t="shared" si="106"/>
        <v>6752.4163200000021</v>
      </c>
      <c r="K192" s="59">
        <f t="shared" si="106"/>
        <v>6752.4163200000021</v>
      </c>
      <c r="L192" s="59">
        <f t="shared" si="106"/>
        <v>6752.4163200000021</v>
      </c>
      <c r="M192" s="59">
        <f t="shared" si="106"/>
        <v>6752.4163200000021</v>
      </c>
      <c r="N192" s="59">
        <f t="shared" si="106"/>
        <v>6752.4163200000021</v>
      </c>
      <c r="O192" s="60" t="s">
        <v>72</v>
      </c>
      <c r="P192" s="61">
        <f>N191</f>
        <v>6752.4163200000021</v>
      </c>
    </row>
    <row r="195" spans="2:16" x14ac:dyDescent="0.25">
      <c r="B195" s="288" t="s">
        <v>155</v>
      </c>
      <c r="C195" s="288"/>
      <c r="D195" s="288"/>
      <c r="E195" s="288"/>
      <c r="F195" s="288"/>
      <c r="G195" s="288"/>
      <c r="H195" s="288"/>
      <c r="I195" s="288"/>
      <c r="J195" s="288"/>
      <c r="K195" s="288"/>
      <c r="L195" s="288"/>
      <c r="M195" s="288"/>
      <c r="N195" s="288"/>
      <c r="O195" s="288"/>
      <c r="P195" s="288"/>
    </row>
    <row r="196" spans="2:16" x14ac:dyDescent="0.25">
      <c r="B196" s="213"/>
      <c r="C196" s="215" t="s">
        <v>50</v>
      </c>
      <c r="D196" s="215" t="s">
        <v>51</v>
      </c>
      <c r="E196" s="215" t="s">
        <v>52</v>
      </c>
      <c r="F196" s="215" t="s">
        <v>53</v>
      </c>
      <c r="G196" s="215" t="s">
        <v>54</v>
      </c>
      <c r="H196" s="215" t="s">
        <v>55</v>
      </c>
      <c r="I196" s="215" t="s">
        <v>56</v>
      </c>
      <c r="J196" s="215" t="s">
        <v>57</v>
      </c>
      <c r="K196" s="215" t="s">
        <v>58</v>
      </c>
      <c r="L196" s="215" t="s">
        <v>59</v>
      </c>
      <c r="M196" s="215" t="s">
        <v>60</v>
      </c>
      <c r="N196" s="215" t="s">
        <v>61</v>
      </c>
      <c r="O196" s="220" t="s">
        <v>62</v>
      </c>
      <c r="P196" s="221"/>
    </row>
    <row r="197" spans="2:16" x14ac:dyDescent="0.25">
      <c r="B197" s="214"/>
      <c r="C197" s="216"/>
      <c r="D197" s="216"/>
      <c r="E197" s="216"/>
      <c r="F197" s="216"/>
      <c r="G197" s="216"/>
      <c r="H197" s="216"/>
      <c r="I197" s="216"/>
      <c r="J197" s="216"/>
      <c r="K197" s="216"/>
      <c r="L197" s="216"/>
      <c r="M197" s="216"/>
      <c r="N197" s="216"/>
      <c r="O197" s="58" t="s">
        <v>64</v>
      </c>
      <c r="P197" s="58" t="s">
        <v>65</v>
      </c>
    </row>
    <row r="198" spans="2:16" x14ac:dyDescent="0.25">
      <c r="B198" s="35" t="s">
        <v>77</v>
      </c>
      <c r="C198" s="35">
        <f t="shared" ref="C198:N198" si="107">C189*34%</f>
        <v>1913.1846240000009</v>
      </c>
      <c r="D198" s="35">
        <f t="shared" si="107"/>
        <v>1913.1846240000009</v>
      </c>
      <c r="E198" s="35">
        <f t="shared" si="107"/>
        <v>1913.1846240000009</v>
      </c>
      <c r="F198" s="35">
        <f t="shared" si="107"/>
        <v>1913.1846240000009</v>
      </c>
      <c r="G198" s="35">
        <f t="shared" si="107"/>
        <v>1913.1846240000009</v>
      </c>
      <c r="H198" s="35">
        <f t="shared" si="107"/>
        <v>1913.1846240000009</v>
      </c>
      <c r="I198" s="35">
        <f t="shared" si="107"/>
        <v>1913.1846240000009</v>
      </c>
      <c r="J198" s="35">
        <f t="shared" si="107"/>
        <v>1913.1846240000009</v>
      </c>
      <c r="K198" s="35">
        <f t="shared" si="107"/>
        <v>1913.1846240000009</v>
      </c>
      <c r="L198" s="35">
        <f t="shared" si="107"/>
        <v>1913.1846240000009</v>
      </c>
      <c r="M198" s="35">
        <f t="shared" si="107"/>
        <v>1913.1846240000009</v>
      </c>
      <c r="N198" s="35">
        <f t="shared" si="107"/>
        <v>1913.1846240000009</v>
      </c>
      <c r="O198" s="60" t="s">
        <v>78</v>
      </c>
      <c r="P198" s="61">
        <f>SUM(C198:N198)</f>
        <v>22958.215488000013</v>
      </c>
    </row>
    <row r="199" spans="2:16" x14ac:dyDescent="0.25">
      <c r="B199" s="34" t="s">
        <v>79</v>
      </c>
      <c r="C199" s="34">
        <f t="shared" ref="C199:N199" si="108">C198*20%</f>
        <v>382.6369248000002</v>
      </c>
      <c r="D199" s="34">
        <f t="shared" si="108"/>
        <v>382.6369248000002</v>
      </c>
      <c r="E199" s="34">
        <f t="shared" si="108"/>
        <v>382.6369248000002</v>
      </c>
      <c r="F199" s="34">
        <f t="shared" si="108"/>
        <v>382.6369248000002</v>
      </c>
      <c r="G199" s="34">
        <f t="shared" si="108"/>
        <v>382.6369248000002</v>
      </c>
      <c r="H199" s="34">
        <f t="shared" si="108"/>
        <v>382.6369248000002</v>
      </c>
      <c r="I199" s="34">
        <f t="shared" si="108"/>
        <v>382.6369248000002</v>
      </c>
      <c r="J199" s="34">
        <f t="shared" si="108"/>
        <v>382.6369248000002</v>
      </c>
      <c r="K199" s="34">
        <f t="shared" si="108"/>
        <v>382.6369248000002</v>
      </c>
      <c r="L199" s="34">
        <f t="shared" si="108"/>
        <v>382.6369248000002</v>
      </c>
      <c r="M199" s="34">
        <f t="shared" si="108"/>
        <v>382.6369248000002</v>
      </c>
      <c r="N199" s="34">
        <f t="shared" si="108"/>
        <v>382.6369248000002</v>
      </c>
      <c r="O199" s="34"/>
      <c r="P199" s="34"/>
    </row>
    <row r="200" spans="2:16" x14ac:dyDescent="0.25">
      <c r="B200" s="34" t="s">
        <v>80</v>
      </c>
      <c r="C200" s="34">
        <f t="shared" ref="C200:N200" si="109">C198+C199</f>
        <v>2295.821548800001</v>
      </c>
      <c r="D200" s="34">
        <f t="shared" si="109"/>
        <v>2295.821548800001</v>
      </c>
      <c r="E200" s="34">
        <f t="shared" si="109"/>
        <v>2295.821548800001</v>
      </c>
      <c r="F200" s="34">
        <f t="shared" si="109"/>
        <v>2295.821548800001</v>
      </c>
      <c r="G200" s="34">
        <f t="shared" si="109"/>
        <v>2295.821548800001</v>
      </c>
      <c r="H200" s="34">
        <f t="shared" si="109"/>
        <v>2295.821548800001</v>
      </c>
      <c r="I200" s="34">
        <f t="shared" si="109"/>
        <v>2295.821548800001</v>
      </c>
      <c r="J200" s="34">
        <f t="shared" si="109"/>
        <v>2295.821548800001</v>
      </c>
      <c r="K200" s="34">
        <f t="shared" si="109"/>
        <v>2295.821548800001</v>
      </c>
      <c r="L200" s="34">
        <f t="shared" si="109"/>
        <v>2295.821548800001</v>
      </c>
      <c r="M200" s="34">
        <f t="shared" si="109"/>
        <v>2295.821548800001</v>
      </c>
      <c r="N200" s="34">
        <f t="shared" si="109"/>
        <v>2295.821548800001</v>
      </c>
      <c r="O200" s="34"/>
      <c r="P200" s="34"/>
    </row>
    <row r="201" spans="2:16" x14ac:dyDescent="0.25">
      <c r="B201" s="59" t="s">
        <v>81</v>
      </c>
      <c r="C201" s="59">
        <f t="shared" ref="C201:N201" si="110">C200</f>
        <v>2295.821548800001</v>
      </c>
      <c r="D201" s="59">
        <f t="shared" si="110"/>
        <v>2295.821548800001</v>
      </c>
      <c r="E201" s="59">
        <f t="shared" si="110"/>
        <v>2295.821548800001</v>
      </c>
      <c r="F201" s="59">
        <f t="shared" si="110"/>
        <v>2295.821548800001</v>
      </c>
      <c r="G201" s="59">
        <f t="shared" si="110"/>
        <v>2295.821548800001</v>
      </c>
      <c r="H201" s="59">
        <f t="shared" si="110"/>
        <v>2295.821548800001</v>
      </c>
      <c r="I201" s="59">
        <f t="shared" si="110"/>
        <v>2295.821548800001</v>
      </c>
      <c r="J201" s="59">
        <f t="shared" si="110"/>
        <v>2295.821548800001</v>
      </c>
      <c r="K201" s="59">
        <f t="shared" si="110"/>
        <v>2295.821548800001</v>
      </c>
      <c r="L201" s="59">
        <f t="shared" si="110"/>
        <v>2295.821548800001</v>
      </c>
      <c r="M201" s="59">
        <f t="shared" si="110"/>
        <v>2295.821548800001</v>
      </c>
      <c r="N201" s="59">
        <f t="shared" si="110"/>
        <v>2295.821548800001</v>
      </c>
      <c r="O201" s="60" t="s">
        <v>82</v>
      </c>
      <c r="P201" s="61">
        <v>0</v>
      </c>
    </row>
    <row r="204" spans="2:16" x14ac:dyDescent="0.25">
      <c r="B204" s="288" t="s">
        <v>156</v>
      </c>
      <c r="C204" s="288"/>
      <c r="D204" s="288"/>
      <c r="E204" s="288"/>
      <c r="F204" s="288"/>
      <c r="G204" s="288"/>
      <c r="H204" s="288"/>
      <c r="I204" s="288"/>
      <c r="J204" s="288"/>
      <c r="K204" s="288"/>
      <c r="L204" s="288"/>
      <c r="M204" s="288"/>
      <c r="N204" s="288"/>
      <c r="O204" s="288"/>
      <c r="P204" s="288"/>
    </row>
    <row r="205" spans="2:16" x14ac:dyDescent="0.25">
      <c r="B205" s="213"/>
      <c r="C205" s="215" t="s">
        <v>50</v>
      </c>
      <c r="D205" s="215" t="s">
        <v>51</v>
      </c>
      <c r="E205" s="215" t="s">
        <v>52</v>
      </c>
      <c r="F205" s="215" t="s">
        <v>53</v>
      </c>
      <c r="G205" s="215" t="s">
        <v>54</v>
      </c>
      <c r="H205" s="215" t="s">
        <v>55</v>
      </c>
      <c r="I205" s="215" t="s">
        <v>56</v>
      </c>
      <c r="J205" s="215" t="s">
        <v>57</v>
      </c>
      <c r="K205" s="215" t="s">
        <v>58</v>
      </c>
      <c r="L205" s="215" t="s">
        <v>59</v>
      </c>
      <c r="M205" s="215" t="s">
        <v>60</v>
      </c>
      <c r="N205" s="215" t="s">
        <v>61</v>
      </c>
      <c r="O205" s="220" t="s">
        <v>62</v>
      </c>
      <c r="P205" s="221"/>
    </row>
    <row r="206" spans="2:16" x14ac:dyDescent="0.25">
      <c r="B206" s="231"/>
      <c r="C206" s="232"/>
      <c r="D206" s="232"/>
      <c r="E206" s="232"/>
      <c r="F206" s="232"/>
      <c r="G206" s="232"/>
      <c r="H206" s="232"/>
      <c r="I206" s="232"/>
      <c r="J206" s="232"/>
      <c r="K206" s="232"/>
      <c r="L206" s="232"/>
      <c r="M206" s="232"/>
      <c r="N206" s="232"/>
      <c r="O206" s="58" t="s">
        <v>64</v>
      </c>
      <c r="P206" s="58" t="s">
        <v>65</v>
      </c>
    </row>
    <row r="207" spans="2:16" x14ac:dyDescent="0.25">
      <c r="B207" s="21" t="s">
        <v>84</v>
      </c>
      <c r="C207" s="21">
        <v>7100</v>
      </c>
      <c r="D207" s="21">
        <v>7100</v>
      </c>
      <c r="E207" s="21">
        <v>7100</v>
      </c>
      <c r="F207" s="21">
        <v>7100</v>
      </c>
      <c r="G207" s="21">
        <v>7100</v>
      </c>
      <c r="H207" s="21">
        <v>7100</v>
      </c>
      <c r="I207" s="21">
        <v>7100</v>
      </c>
      <c r="J207" s="21">
        <v>7100</v>
      </c>
      <c r="K207" s="21">
        <v>7100</v>
      </c>
      <c r="L207" s="21">
        <v>7100</v>
      </c>
      <c r="M207" s="21">
        <v>7100</v>
      </c>
      <c r="N207" s="22">
        <v>7100</v>
      </c>
      <c r="O207" s="60" t="s">
        <v>85</v>
      </c>
      <c r="P207" s="61">
        <f>SUM(C207:N207)</f>
        <v>85200</v>
      </c>
    </row>
    <row r="208" spans="2:16" x14ac:dyDescent="0.25">
      <c r="B208" s="21" t="s">
        <v>86</v>
      </c>
      <c r="C208" s="21">
        <f t="shared" ref="C208:N208" si="111">C207*20%</f>
        <v>1420</v>
      </c>
      <c r="D208" s="21">
        <f t="shared" si="111"/>
        <v>1420</v>
      </c>
      <c r="E208" s="21">
        <f t="shared" si="111"/>
        <v>1420</v>
      </c>
      <c r="F208" s="21">
        <f t="shared" si="111"/>
        <v>1420</v>
      </c>
      <c r="G208" s="21">
        <f t="shared" si="111"/>
        <v>1420</v>
      </c>
      <c r="H208" s="21">
        <f t="shared" si="111"/>
        <v>1420</v>
      </c>
      <c r="I208" s="21">
        <f t="shared" si="111"/>
        <v>1420</v>
      </c>
      <c r="J208" s="21">
        <f t="shared" si="111"/>
        <v>1420</v>
      </c>
      <c r="K208" s="21">
        <f t="shared" si="111"/>
        <v>1420</v>
      </c>
      <c r="L208" s="21">
        <f t="shared" si="111"/>
        <v>1420</v>
      </c>
      <c r="M208" s="21">
        <f t="shared" si="111"/>
        <v>1420</v>
      </c>
      <c r="N208" s="22">
        <f t="shared" si="111"/>
        <v>1420</v>
      </c>
      <c r="O208" s="47"/>
      <c r="P208" s="48"/>
    </row>
    <row r="209" spans="2:16" x14ac:dyDescent="0.25">
      <c r="B209" s="142" t="s">
        <v>223</v>
      </c>
      <c r="C209" s="21">
        <f>$P$209/12</f>
        <v>308.03571428571428</v>
      </c>
      <c r="D209" s="21">
        <f t="shared" ref="D209:N209" si="112">$P$209/12</f>
        <v>308.03571428571428</v>
      </c>
      <c r="E209" s="21">
        <f t="shared" si="112"/>
        <v>308.03571428571428</v>
      </c>
      <c r="F209" s="21">
        <f t="shared" si="112"/>
        <v>308.03571428571428</v>
      </c>
      <c r="G209" s="21">
        <f t="shared" si="112"/>
        <v>308.03571428571428</v>
      </c>
      <c r="H209" s="21">
        <f t="shared" si="112"/>
        <v>308.03571428571428</v>
      </c>
      <c r="I209" s="21">
        <f t="shared" si="112"/>
        <v>308.03571428571428</v>
      </c>
      <c r="J209" s="21">
        <f t="shared" si="112"/>
        <v>308.03571428571428</v>
      </c>
      <c r="K209" s="21">
        <f t="shared" si="112"/>
        <v>308.03571428571428</v>
      </c>
      <c r="L209" s="21">
        <f t="shared" si="112"/>
        <v>308.03571428571428</v>
      </c>
      <c r="M209" s="21">
        <f t="shared" si="112"/>
        <v>308.03571428571428</v>
      </c>
      <c r="N209" s="21">
        <f t="shared" si="112"/>
        <v>308.03571428571428</v>
      </c>
      <c r="O209" s="163"/>
      <c r="P209" s="48">
        <f>Emprunt!S6</f>
        <v>3696.4285714285711</v>
      </c>
    </row>
    <row r="210" spans="2:16" x14ac:dyDescent="0.25">
      <c r="B210" s="142" t="s">
        <v>229</v>
      </c>
      <c r="C210" s="21">
        <f>$P$210/12</f>
        <v>162.91666666666666</v>
      </c>
      <c r="D210" s="21">
        <f t="shared" ref="D210:N210" si="113">$P$210/12</f>
        <v>162.91666666666666</v>
      </c>
      <c r="E210" s="21">
        <f t="shared" si="113"/>
        <v>162.91666666666666</v>
      </c>
      <c r="F210" s="21">
        <f t="shared" si="113"/>
        <v>162.91666666666666</v>
      </c>
      <c r="G210" s="21">
        <f t="shared" si="113"/>
        <v>162.91666666666666</v>
      </c>
      <c r="H210" s="21">
        <f t="shared" si="113"/>
        <v>162.91666666666666</v>
      </c>
      <c r="I210" s="21">
        <f t="shared" si="113"/>
        <v>162.91666666666666</v>
      </c>
      <c r="J210" s="21">
        <f t="shared" si="113"/>
        <v>162.91666666666666</v>
      </c>
      <c r="K210" s="21">
        <f t="shared" si="113"/>
        <v>162.91666666666666</v>
      </c>
      <c r="L210" s="21">
        <f t="shared" si="113"/>
        <v>162.91666666666666</v>
      </c>
      <c r="M210" s="21">
        <f t="shared" si="113"/>
        <v>162.91666666666666</v>
      </c>
      <c r="N210" s="21">
        <f t="shared" si="113"/>
        <v>162.91666666666666</v>
      </c>
      <c r="O210" s="163"/>
      <c r="P210" s="48">
        <f>Emprunt!S15</f>
        <v>1954.9999999999998</v>
      </c>
    </row>
    <row r="211" spans="2:16" x14ac:dyDescent="0.25">
      <c r="B211" s="142" t="s">
        <v>231</v>
      </c>
      <c r="C211" s="21">
        <f>$P$211/12</f>
        <v>306.66666666666663</v>
      </c>
      <c r="D211" s="21">
        <f t="shared" ref="D211:N211" si="114">$P$211/12</f>
        <v>306.66666666666663</v>
      </c>
      <c r="E211" s="21">
        <f t="shared" si="114"/>
        <v>306.66666666666663</v>
      </c>
      <c r="F211" s="21">
        <f t="shared" si="114"/>
        <v>306.66666666666663</v>
      </c>
      <c r="G211" s="21">
        <f t="shared" si="114"/>
        <v>306.66666666666663</v>
      </c>
      <c r="H211" s="21">
        <f t="shared" si="114"/>
        <v>306.66666666666663</v>
      </c>
      <c r="I211" s="21">
        <f t="shared" si="114"/>
        <v>306.66666666666663</v>
      </c>
      <c r="J211" s="21">
        <f t="shared" si="114"/>
        <v>306.66666666666663</v>
      </c>
      <c r="K211" s="21">
        <f t="shared" si="114"/>
        <v>306.66666666666663</v>
      </c>
      <c r="L211" s="21">
        <f t="shared" si="114"/>
        <v>306.66666666666663</v>
      </c>
      <c r="M211" s="21">
        <f t="shared" si="114"/>
        <v>306.66666666666663</v>
      </c>
      <c r="N211" s="21">
        <f t="shared" si="114"/>
        <v>306.66666666666663</v>
      </c>
      <c r="O211" s="163"/>
      <c r="P211" s="48">
        <f>Emprunt!S28</f>
        <v>3679.9999999999995</v>
      </c>
    </row>
    <row r="212" spans="2:16" x14ac:dyDescent="0.25">
      <c r="B212" s="22" t="s">
        <v>232</v>
      </c>
      <c r="C212" s="21">
        <f>SUM(C209:C211)*0.2</f>
        <v>155.52380952380952</v>
      </c>
      <c r="D212" s="21">
        <f t="shared" ref="D212:N212" si="115">SUM(D209:D211)*0.2</f>
        <v>155.52380952380952</v>
      </c>
      <c r="E212" s="21">
        <f t="shared" si="115"/>
        <v>155.52380952380952</v>
      </c>
      <c r="F212" s="21">
        <f t="shared" si="115"/>
        <v>155.52380952380952</v>
      </c>
      <c r="G212" s="21">
        <f t="shared" si="115"/>
        <v>155.52380952380952</v>
      </c>
      <c r="H212" s="21">
        <f t="shared" si="115"/>
        <v>155.52380952380952</v>
      </c>
      <c r="I212" s="21">
        <f t="shared" si="115"/>
        <v>155.52380952380952</v>
      </c>
      <c r="J212" s="21">
        <f t="shared" si="115"/>
        <v>155.52380952380952</v>
      </c>
      <c r="K212" s="21">
        <f t="shared" si="115"/>
        <v>155.52380952380952</v>
      </c>
      <c r="L212" s="21">
        <f t="shared" si="115"/>
        <v>155.52380952380952</v>
      </c>
      <c r="M212" s="21">
        <f t="shared" si="115"/>
        <v>155.52380952380952</v>
      </c>
      <c r="N212" s="21">
        <f t="shared" si="115"/>
        <v>155.52380952380952</v>
      </c>
      <c r="O212" s="163"/>
      <c r="P212" s="48"/>
    </row>
    <row r="213" spans="2:16" x14ac:dyDescent="0.25">
      <c r="B213" s="139" t="s">
        <v>87</v>
      </c>
      <c r="C213" s="139">
        <f>SUM(C207:C212)</f>
        <v>9453.1428571428551</v>
      </c>
      <c r="D213" s="139">
        <f t="shared" ref="D213:N213" si="116">SUM(D207:D212)</f>
        <v>9453.1428571428551</v>
      </c>
      <c r="E213" s="139">
        <f t="shared" si="116"/>
        <v>9453.1428571428551</v>
      </c>
      <c r="F213" s="139">
        <f t="shared" si="116"/>
        <v>9453.1428571428551</v>
      </c>
      <c r="G213" s="139">
        <f t="shared" si="116"/>
        <v>9453.1428571428551</v>
      </c>
      <c r="H213" s="139">
        <f t="shared" si="116"/>
        <v>9453.1428571428551</v>
      </c>
      <c r="I213" s="139">
        <f t="shared" si="116"/>
        <v>9453.1428571428551</v>
      </c>
      <c r="J213" s="139">
        <f t="shared" si="116"/>
        <v>9453.1428571428551</v>
      </c>
      <c r="K213" s="139">
        <f t="shared" si="116"/>
        <v>9453.1428571428551</v>
      </c>
      <c r="L213" s="139">
        <f t="shared" si="116"/>
        <v>9453.1428571428551</v>
      </c>
      <c r="M213" s="139">
        <f t="shared" si="116"/>
        <v>9453.1428571428551</v>
      </c>
      <c r="N213" s="139">
        <f t="shared" si="116"/>
        <v>9453.1428571428551</v>
      </c>
      <c r="O213" s="34"/>
      <c r="P213" s="34"/>
    </row>
    <row r="214" spans="2:16" x14ac:dyDescent="0.25">
      <c r="B214" s="59" t="s">
        <v>81</v>
      </c>
      <c r="C214" s="59">
        <f>C213</f>
        <v>9453.1428571428551</v>
      </c>
      <c r="D214" s="59">
        <f t="shared" ref="D214:N214" si="117">D213</f>
        <v>9453.1428571428551</v>
      </c>
      <c r="E214" s="59">
        <f t="shared" si="117"/>
        <v>9453.1428571428551</v>
      </c>
      <c r="F214" s="59">
        <f t="shared" si="117"/>
        <v>9453.1428571428551</v>
      </c>
      <c r="G214" s="59">
        <f t="shared" si="117"/>
        <v>9453.1428571428551</v>
      </c>
      <c r="H214" s="59">
        <f t="shared" si="117"/>
        <v>9453.1428571428551</v>
      </c>
      <c r="I214" s="59">
        <f t="shared" si="117"/>
        <v>9453.1428571428551</v>
      </c>
      <c r="J214" s="59">
        <f t="shared" si="117"/>
        <v>9453.1428571428551</v>
      </c>
      <c r="K214" s="59">
        <f t="shared" si="117"/>
        <v>9453.1428571428551</v>
      </c>
      <c r="L214" s="59">
        <f t="shared" si="117"/>
        <v>9453.1428571428551</v>
      </c>
      <c r="M214" s="59">
        <f t="shared" si="117"/>
        <v>9453.1428571428551</v>
      </c>
      <c r="N214" s="59">
        <f t="shared" si="117"/>
        <v>9453.1428571428551</v>
      </c>
      <c r="O214" s="47"/>
      <c r="P214" s="34"/>
    </row>
    <row r="215" spans="2:16" x14ac:dyDescent="0.25">
      <c r="B215" s="28" t="s">
        <v>89</v>
      </c>
      <c r="C215" s="21"/>
      <c r="D215" s="21"/>
      <c r="E215" s="21"/>
      <c r="F215" s="21"/>
      <c r="G215" s="21"/>
      <c r="H215" s="21"/>
      <c r="I215" s="21"/>
      <c r="J215" s="21"/>
      <c r="K215" s="21"/>
      <c r="L215" s="21"/>
      <c r="M215" s="21"/>
      <c r="N215" s="22">
        <v>7500</v>
      </c>
      <c r="O215" s="47"/>
      <c r="P215" s="48"/>
    </row>
    <row r="216" spans="2:16" x14ac:dyDescent="0.25">
      <c r="B216" s="59" t="s">
        <v>94</v>
      </c>
      <c r="C216" s="59">
        <f>C215</f>
        <v>0</v>
      </c>
      <c r="D216" s="59">
        <f t="shared" ref="D216:N216" si="118">D215</f>
        <v>0</v>
      </c>
      <c r="E216" s="59">
        <f t="shared" si="118"/>
        <v>0</v>
      </c>
      <c r="F216" s="59">
        <f t="shared" si="118"/>
        <v>0</v>
      </c>
      <c r="G216" s="59">
        <f t="shared" si="118"/>
        <v>0</v>
      </c>
      <c r="H216" s="59">
        <f t="shared" si="118"/>
        <v>0</v>
      </c>
      <c r="I216" s="59">
        <f t="shared" si="118"/>
        <v>0</v>
      </c>
      <c r="J216" s="59">
        <f t="shared" si="118"/>
        <v>0</v>
      </c>
      <c r="K216" s="59">
        <f t="shared" si="118"/>
        <v>0</v>
      </c>
      <c r="L216" s="59">
        <f t="shared" si="118"/>
        <v>0</v>
      </c>
      <c r="M216" s="59">
        <f t="shared" si="118"/>
        <v>0</v>
      </c>
      <c r="N216" s="59">
        <f t="shared" si="118"/>
        <v>7500</v>
      </c>
      <c r="O216" s="60" t="s">
        <v>93</v>
      </c>
      <c r="P216" s="61">
        <f>SUM(C216:N216)</f>
        <v>7500</v>
      </c>
    </row>
    <row r="217" spans="2:16" x14ac:dyDescent="0.25">
      <c r="B217" s="21" t="s">
        <v>95</v>
      </c>
      <c r="C217" s="21">
        <f t="shared" ref="C217:N217" si="119">307500/12</f>
        <v>25625</v>
      </c>
      <c r="D217" s="21">
        <f t="shared" si="119"/>
        <v>25625</v>
      </c>
      <c r="E217" s="21">
        <f t="shared" si="119"/>
        <v>25625</v>
      </c>
      <c r="F217" s="21">
        <f t="shared" si="119"/>
        <v>25625</v>
      </c>
      <c r="G217" s="21">
        <f t="shared" si="119"/>
        <v>25625</v>
      </c>
      <c r="H217" s="21">
        <f t="shared" si="119"/>
        <v>25625</v>
      </c>
      <c r="I217" s="21">
        <f t="shared" si="119"/>
        <v>25625</v>
      </c>
      <c r="J217" s="21">
        <f t="shared" si="119"/>
        <v>25625</v>
      </c>
      <c r="K217" s="21">
        <f t="shared" si="119"/>
        <v>25625</v>
      </c>
      <c r="L217" s="21">
        <f t="shared" si="119"/>
        <v>25625</v>
      </c>
      <c r="M217" s="21">
        <f t="shared" si="119"/>
        <v>25625</v>
      </c>
      <c r="N217" s="22">
        <f t="shared" si="119"/>
        <v>25625</v>
      </c>
      <c r="O217" s="47"/>
      <c r="P217" s="48"/>
    </row>
    <row r="218" spans="2:16" x14ac:dyDescent="0.25">
      <c r="B218" s="59" t="s">
        <v>96</v>
      </c>
      <c r="C218" s="59">
        <f t="shared" ref="C218:N218" si="120">C217</f>
        <v>25625</v>
      </c>
      <c r="D218" s="59">
        <f t="shared" si="120"/>
        <v>25625</v>
      </c>
      <c r="E218" s="59">
        <f t="shared" si="120"/>
        <v>25625</v>
      </c>
      <c r="F218" s="59">
        <f t="shared" si="120"/>
        <v>25625</v>
      </c>
      <c r="G218" s="59">
        <f t="shared" si="120"/>
        <v>25625</v>
      </c>
      <c r="H218" s="59">
        <f t="shared" si="120"/>
        <v>25625</v>
      </c>
      <c r="I218" s="59">
        <f t="shared" si="120"/>
        <v>25625</v>
      </c>
      <c r="J218" s="59">
        <f t="shared" si="120"/>
        <v>25625</v>
      </c>
      <c r="K218" s="59">
        <f t="shared" si="120"/>
        <v>25625</v>
      </c>
      <c r="L218" s="59">
        <f t="shared" si="120"/>
        <v>25625</v>
      </c>
      <c r="M218" s="59">
        <f t="shared" si="120"/>
        <v>25625</v>
      </c>
      <c r="N218" s="59">
        <f t="shared" si="120"/>
        <v>25625</v>
      </c>
      <c r="O218" s="60" t="s">
        <v>97</v>
      </c>
      <c r="P218" s="61">
        <f>SUM(C218:N218)</f>
        <v>307500</v>
      </c>
    </row>
    <row r="219" spans="2:16" x14ac:dyDescent="0.25">
      <c r="B219" s="21" t="s">
        <v>21</v>
      </c>
      <c r="C219" s="21">
        <f t="shared" ref="C219:N219" si="121">C217*0.4</f>
        <v>10250</v>
      </c>
      <c r="D219" s="21">
        <f t="shared" si="121"/>
        <v>10250</v>
      </c>
      <c r="E219" s="21">
        <f t="shared" si="121"/>
        <v>10250</v>
      </c>
      <c r="F219" s="21">
        <f t="shared" si="121"/>
        <v>10250</v>
      </c>
      <c r="G219" s="21">
        <f t="shared" si="121"/>
        <v>10250</v>
      </c>
      <c r="H219" s="21">
        <f t="shared" si="121"/>
        <v>10250</v>
      </c>
      <c r="I219" s="21">
        <f t="shared" si="121"/>
        <v>10250</v>
      </c>
      <c r="J219" s="21">
        <f t="shared" si="121"/>
        <v>10250</v>
      </c>
      <c r="K219" s="21">
        <f t="shared" si="121"/>
        <v>10250</v>
      </c>
      <c r="L219" s="21">
        <f t="shared" si="121"/>
        <v>10250</v>
      </c>
      <c r="M219" s="21">
        <f t="shared" si="121"/>
        <v>10250</v>
      </c>
      <c r="N219" s="22">
        <f t="shared" si="121"/>
        <v>10250</v>
      </c>
      <c r="O219" s="60" t="s">
        <v>98</v>
      </c>
      <c r="P219" s="61">
        <f>SUM(C219:N219)</f>
        <v>123000</v>
      </c>
    </row>
    <row r="220" spans="2:16" x14ac:dyDescent="0.25">
      <c r="B220" s="59" t="s">
        <v>99</v>
      </c>
      <c r="C220" s="59">
        <f>P128</f>
        <v>10250</v>
      </c>
      <c r="D220" s="59">
        <f t="shared" ref="D220:N220" si="122">C219</f>
        <v>10250</v>
      </c>
      <c r="E220" s="59">
        <f t="shared" si="122"/>
        <v>10250</v>
      </c>
      <c r="F220" s="59">
        <f t="shared" si="122"/>
        <v>10250</v>
      </c>
      <c r="G220" s="59">
        <f t="shared" si="122"/>
        <v>10250</v>
      </c>
      <c r="H220" s="59">
        <f t="shared" si="122"/>
        <v>10250</v>
      </c>
      <c r="I220" s="59">
        <f t="shared" si="122"/>
        <v>10250</v>
      </c>
      <c r="J220" s="59">
        <f t="shared" si="122"/>
        <v>10250</v>
      </c>
      <c r="K220" s="59">
        <f t="shared" si="122"/>
        <v>10250</v>
      </c>
      <c r="L220" s="59">
        <f t="shared" si="122"/>
        <v>10250</v>
      </c>
      <c r="M220" s="59">
        <f t="shared" si="122"/>
        <v>10250</v>
      </c>
      <c r="N220" s="59">
        <f t="shared" si="122"/>
        <v>10250</v>
      </c>
      <c r="O220" s="60" t="s">
        <v>100</v>
      </c>
      <c r="P220" s="61">
        <f>N219</f>
        <v>10250</v>
      </c>
    </row>
    <row r="223" spans="2:16" x14ac:dyDescent="0.25">
      <c r="B223" s="288" t="s">
        <v>160</v>
      </c>
      <c r="C223" s="288"/>
      <c r="D223" s="288"/>
      <c r="E223" s="288"/>
      <c r="F223" s="288"/>
      <c r="G223" s="288"/>
      <c r="H223" s="288"/>
      <c r="I223" s="288"/>
      <c r="J223" s="288"/>
      <c r="K223" s="288"/>
      <c r="L223" s="288"/>
      <c r="M223" s="288"/>
      <c r="N223" s="288"/>
      <c r="O223" s="288"/>
      <c r="P223" s="288"/>
    </row>
    <row r="224" spans="2:16" x14ac:dyDescent="0.25">
      <c r="B224" s="213"/>
      <c r="C224" s="215" t="s">
        <v>50</v>
      </c>
      <c r="D224" s="215" t="s">
        <v>51</v>
      </c>
      <c r="E224" s="215" t="s">
        <v>52</v>
      </c>
      <c r="F224" s="215" t="s">
        <v>53</v>
      </c>
      <c r="G224" s="215" t="s">
        <v>54</v>
      </c>
      <c r="H224" s="215" t="s">
        <v>55</v>
      </c>
      <c r="I224" s="215" t="s">
        <v>56</v>
      </c>
      <c r="J224" s="215" t="s">
        <v>57</v>
      </c>
      <c r="K224" s="215" t="s">
        <v>58</v>
      </c>
      <c r="L224" s="215" t="s">
        <v>59</v>
      </c>
      <c r="M224" s="215" t="s">
        <v>60</v>
      </c>
      <c r="N224" s="215" t="s">
        <v>61</v>
      </c>
      <c r="O224" s="220" t="s">
        <v>62</v>
      </c>
      <c r="P224" s="221"/>
    </row>
    <row r="225" spans="2:16" x14ac:dyDescent="0.25">
      <c r="B225" s="214"/>
      <c r="C225" s="216"/>
      <c r="D225" s="216"/>
      <c r="E225" s="216"/>
      <c r="F225" s="216"/>
      <c r="G225" s="216"/>
      <c r="H225" s="216"/>
      <c r="I225" s="216"/>
      <c r="J225" s="216"/>
      <c r="K225" s="216"/>
      <c r="L225" s="216"/>
      <c r="M225" s="216"/>
      <c r="N225" s="216"/>
      <c r="O225" s="58" t="s">
        <v>64</v>
      </c>
      <c r="P225" s="58" t="s">
        <v>65</v>
      </c>
    </row>
    <row r="226" spans="2:16" x14ac:dyDescent="0.25">
      <c r="B226" s="46" t="s">
        <v>102</v>
      </c>
      <c r="C226" s="35"/>
      <c r="D226" s="35"/>
      <c r="E226" s="35"/>
      <c r="F226" s="35"/>
      <c r="G226" s="35"/>
      <c r="H226" s="35"/>
      <c r="I226" s="35"/>
      <c r="J226" s="35"/>
      <c r="K226" s="35"/>
      <c r="L226" s="35">
        <v>8200</v>
      </c>
      <c r="M226" s="35"/>
      <c r="N226" s="35"/>
      <c r="O226" s="60" t="s">
        <v>103</v>
      </c>
      <c r="P226" s="61">
        <f>SUM(C226:N226)</f>
        <v>8200</v>
      </c>
    </row>
    <row r="227" spans="2:16" x14ac:dyDescent="0.25">
      <c r="B227" s="34" t="s">
        <v>105</v>
      </c>
      <c r="C227" s="34"/>
      <c r="D227" s="34"/>
      <c r="E227" s="34"/>
      <c r="F227" s="34"/>
      <c r="G227" s="34"/>
      <c r="H227" s="34"/>
      <c r="I227" s="34"/>
      <c r="J227" s="34"/>
      <c r="K227" s="34"/>
      <c r="L227" s="34">
        <v>8200</v>
      </c>
      <c r="M227" s="34"/>
      <c r="N227" s="34"/>
      <c r="O227" s="34"/>
      <c r="P227" s="34"/>
    </row>
    <row r="228" spans="2:16" x14ac:dyDescent="0.25">
      <c r="B228" s="34" t="s">
        <v>106</v>
      </c>
      <c r="C228" s="34"/>
      <c r="D228" s="34"/>
      <c r="E228" s="34"/>
      <c r="F228" s="34"/>
      <c r="G228" s="34"/>
      <c r="H228" s="34"/>
      <c r="I228" s="34"/>
      <c r="J228" s="34"/>
      <c r="K228" s="34"/>
      <c r="L228" s="34"/>
      <c r="M228" s="34"/>
      <c r="N228" s="34"/>
      <c r="O228" s="60" t="s">
        <v>107</v>
      </c>
      <c r="P228" s="61"/>
    </row>
    <row r="229" spans="2:16" x14ac:dyDescent="0.25">
      <c r="B229" s="34" t="s">
        <v>108</v>
      </c>
      <c r="C229" s="34">
        <f t="shared" ref="C229:N229" si="123">$P$229/12</f>
        <v>0</v>
      </c>
      <c r="D229" s="34">
        <f t="shared" si="123"/>
        <v>0</v>
      </c>
      <c r="E229" s="34">
        <f t="shared" si="123"/>
        <v>0</v>
      </c>
      <c r="F229" s="34">
        <f t="shared" si="123"/>
        <v>0</v>
      </c>
      <c r="G229" s="34">
        <f t="shared" si="123"/>
        <v>0</v>
      </c>
      <c r="H229" s="34">
        <f t="shared" si="123"/>
        <v>0</v>
      </c>
      <c r="I229" s="34">
        <f t="shared" si="123"/>
        <v>0</v>
      </c>
      <c r="J229" s="34">
        <f t="shared" si="123"/>
        <v>0</v>
      </c>
      <c r="K229" s="34">
        <f t="shared" si="123"/>
        <v>0</v>
      </c>
      <c r="L229" s="34">
        <f t="shared" si="123"/>
        <v>0</v>
      </c>
      <c r="M229" s="34">
        <f t="shared" si="123"/>
        <v>0</v>
      </c>
      <c r="N229" s="34">
        <f t="shared" si="123"/>
        <v>0</v>
      </c>
      <c r="O229" s="60" t="s">
        <v>109</v>
      </c>
      <c r="P229" s="61"/>
    </row>
    <row r="230" spans="2:16" x14ac:dyDescent="0.25">
      <c r="B230" s="59" t="s">
        <v>71</v>
      </c>
      <c r="C230" s="59">
        <f t="shared" ref="C230:N230" si="124">C228+C229</f>
        <v>0</v>
      </c>
      <c r="D230" s="59">
        <f t="shared" si="124"/>
        <v>0</v>
      </c>
      <c r="E230" s="59">
        <f t="shared" si="124"/>
        <v>0</v>
      </c>
      <c r="F230" s="59">
        <f t="shared" si="124"/>
        <v>0</v>
      </c>
      <c r="G230" s="59">
        <f t="shared" si="124"/>
        <v>0</v>
      </c>
      <c r="H230" s="59">
        <f t="shared" si="124"/>
        <v>0</v>
      </c>
      <c r="I230" s="59">
        <f t="shared" si="124"/>
        <v>0</v>
      </c>
      <c r="J230" s="59">
        <f t="shared" si="124"/>
        <v>0</v>
      </c>
      <c r="K230" s="59">
        <f t="shared" si="124"/>
        <v>0</v>
      </c>
      <c r="L230" s="59">
        <f t="shared" si="124"/>
        <v>0</v>
      </c>
      <c r="M230" s="59">
        <f t="shared" si="124"/>
        <v>0</v>
      </c>
      <c r="N230" s="59">
        <f t="shared" si="124"/>
        <v>0</v>
      </c>
      <c r="O230" s="38"/>
      <c r="P230" s="38"/>
    </row>
    <row r="233" spans="2:16" x14ac:dyDescent="0.25">
      <c r="B233" s="288" t="s">
        <v>161</v>
      </c>
      <c r="C233" s="288"/>
      <c r="D233" s="288"/>
      <c r="E233" s="288"/>
      <c r="F233" s="288"/>
      <c r="G233" s="288"/>
      <c r="H233" s="288"/>
      <c r="I233" s="288"/>
      <c r="J233" s="288"/>
      <c r="K233" s="288"/>
      <c r="L233" s="288"/>
      <c r="M233" s="288"/>
      <c r="N233" s="288"/>
      <c r="O233" s="288"/>
      <c r="P233" s="288"/>
    </row>
    <row r="234" spans="2:16" x14ac:dyDescent="0.25">
      <c r="B234" s="213"/>
      <c r="C234" s="215" t="s">
        <v>50</v>
      </c>
      <c r="D234" s="215" t="s">
        <v>51</v>
      </c>
      <c r="E234" s="215" t="s">
        <v>52</v>
      </c>
      <c r="F234" s="215" t="s">
        <v>53</v>
      </c>
      <c r="G234" s="215" t="s">
        <v>54</v>
      </c>
      <c r="H234" s="215" t="s">
        <v>55</v>
      </c>
      <c r="I234" s="215" t="s">
        <v>56</v>
      </c>
      <c r="J234" s="215" t="s">
        <v>57</v>
      </c>
      <c r="K234" s="215" t="s">
        <v>58</v>
      </c>
      <c r="L234" s="215" t="s">
        <v>59</v>
      </c>
      <c r="M234" s="215" t="s">
        <v>60</v>
      </c>
      <c r="N234" s="215" t="s">
        <v>61</v>
      </c>
      <c r="O234" s="220" t="s">
        <v>62</v>
      </c>
      <c r="P234" s="221"/>
    </row>
    <row r="235" spans="2:16" x14ac:dyDescent="0.25">
      <c r="B235" s="214"/>
      <c r="C235" s="216"/>
      <c r="D235" s="216"/>
      <c r="E235" s="216"/>
      <c r="F235" s="216"/>
      <c r="G235" s="216"/>
      <c r="H235" s="216"/>
      <c r="I235" s="216"/>
      <c r="J235" s="216"/>
      <c r="K235" s="216"/>
      <c r="L235" s="216"/>
      <c r="M235" s="216"/>
      <c r="N235" s="216"/>
      <c r="O235" s="58" t="s">
        <v>64</v>
      </c>
      <c r="P235" s="58" t="s">
        <v>65</v>
      </c>
    </row>
    <row r="236" spans="2:16" x14ac:dyDescent="0.25">
      <c r="B236" s="35" t="s">
        <v>111</v>
      </c>
      <c r="C236" s="35"/>
      <c r="D236" s="35"/>
      <c r="E236" s="35"/>
      <c r="F236" s="35"/>
      <c r="G236" s="35"/>
      <c r="H236" s="35"/>
      <c r="I236" s="35"/>
      <c r="J236" s="35"/>
      <c r="K236" s="35"/>
      <c r="L236" s="35"/>
      <c r="M236" s="35"/>
      <c r="N236" s="35"/>
      <c r="O236" s="60" t="s">
        <v>227</v>
      </c>
      <c r="P236" s="61">
        <f>SUM(C236:N236)</f>
        <v>0</v>
      </c>
    </row>
    <row r="237" spans="2:16" x14ac:dyDescent="0.25">
      <c r="B237" s="34" t="s">
        <v>113</v>
      </c>
      <c r="C237" s="34">
        <f t="shared" ref="C237:N237" si="125">C236*20%</f>
        <v>0</v>
      </c>
      <c r="D237" s="34">
        <f t="shared" si="125"/>
        <v>0</v>
      </c>
      <c r="E237" s="34">
        <f t="shared" si="125"/>
        <v>0</v>
      </c>
      <c r="F237" s="34">
        <f t="shared" si="125"/>
        <v>0</v>
      </c>
      <c r="G237" s="34">
        <f t="shared" si="125"/>
        <v>0</v>
      </c>
      <c r="H237" s="34">
        <f t="shared" si="125"/>
        <v>0</v>
      </c>
      <c r="I237" s="34">
        <f t="shared" si="125"/>
        <v>0</v>
      </c>
      <c r="J237" s="34">
        <f t="shared" si="125"/>
        <v>0</v>
      </c>
      <c r="K237" s="34">
        <f t="shared" si="125"/>
        <v>0</v>
      </c>
      <c r="L237" s="34">
        <f t="shared" si="125"/>
        <v>0</v>
      </c>
      <c r="M237" s="34">
        <f t="shared" si="125"/>
        <v>0</v>
      </c>
      <c r="N237" s="34">
        <f t="shared" si="125"/>
        <v>0</v>
      </c>
      <c r="O237" s="34"/>
      <c r="P237" s="34"/>
    </row>
    <row r="238" spans="2:16" x14ac:dyDescent="0.25">
      <c r="B238" s="34" t="s">
        <v>114</v>
      </c>
      <c r="C238" s="34">
        <f t="shared" ref="C238:N238" si="126">C236+C237</f>
        <v>0</v>
      </c>
      <c r="D238" s="34">
        <f t="shared" si="126"/>
        <v>0</v>
      </c>
      <c r="E238" s="34">
        <f t="shared" si="126"/>
        <v>0</v>
      </c>
      <c r="F238" s="34">
        <f t="shared" si="126"/>
        <v>0</v>
      </c>
      <c r="G238" s="34">
        <f t="shared" si="126"/>
        <v>0</v>
      </c>
      <c r="H238" s="34">
        <f t="shared" si="126"/>
        <v>0</v>
      </c>
      <c r="I238" s="34">
        <f t="shared" si="126"/>
        <v>0</v>
      </c>
      <c r="J238" s="34">
        <f t="shared" si="126"/>
        <v>0</v>
      </c>
      <c r="K238" s="34">
        <f t="shared" si="126"/>
        <v>0</v>
      </c>
      <c r="L238" s="34">
        <f t="shared" si="126"/>
        <v>0</v>
      </c>
      <c r="M238" s="34">
        <f t="shared" si="126"/>
        <v>0</v>
      </c>
      <c r="N238" s="34">
        <f t="shared" si="126"/>
        <v>0</v>
      </c>
      <c r="O238" s="34"/>
      <c r="P238" s="34"/>
    </row>
    <row r="239" spans="2:16" x14ac:dyDescent="0.25">
      <c r="B239" s="59" t="s">
        <v>81</v>
      </c>
      <c r="C239" s="59">
        <f t="shared" ref="C239:N239" si="127">C238</f>
        <v>0</v>
      </c>
      <c r="D239" s="59">
        <f t="shared" si="127"/>
        <v>0</v>
      </c>
      <c r="E239" s="59">
        <f t="shared" si="127"/>
        <v>0</v>
      </c>
      <c r="F239" s="59">
        <f t="shared" si="127"/>
        <v>0</v>
      </c>
      <c r="G239" s="59">
        <f t="shared" si="127"/>
        <v>0</v>
      </c>
      <c r="H239" s="59">
        <f t="shared" si="127"/>
        <v>0</v>
      </c>
      <c r="I239" s="59">
        <f t="shared" si="127"/>
        <v>0</v>
      </c>
      <c r="J239" s="59">
        <f t="shared" si="127"/>
        <v>0</v>
      </c>
      <c r="K239" s="59">
        <f t="shared" si="127"/>
        <v>0</v>
      </c>
      <c r="L239" s="59">
        <f t="shared" si="127"/>
        <v>0</v>
      </c>
      <c r="M239" s="59">
        <f t="shared" si="127"/>
        <v>0</v>
      </c>
      <c r="N239" s="59">
        <f t="shared" si="127"/>
        <v>0</v>
      </c>
      <c r="O239" s="60" t="s">
        <v>220</v>
      </c>
      <c r="P239" s="61">
        <v>0</v>
      </c>
    </row>
    <row r="240" spans="2:16" x14ac:dyDescent="0.25">
      <c r="C240" s="20" t="s">
        <v>149</v>
      </c>
    </row>
    <row r="242" spans="2:31" x14ac:dyDescent="0.25">
      <c r="B242" s="288" t="s">
        <v>162</v>
      </c>
      <c r="C242" s="288"/>
      <c r="D242" s="288"/>
      <c r="E242" s="288"/>
      <c r="F242" s="288"/>
      <c r="G242" s="288"/>
      <c r="H242" s="288"/>
      <c r="I242" s="288"/>
      <c r="J242" s="288"/>
      <c r="K242" s="288"/>
      <c r="L242" s="288"/>
      <c r="M242" s="288"/>
      <c r="N242" s="288"/>
      <c r="O242" s="288"/>
      <c r="P242" s="288"/>
    </row>
    <row r="243" spans="2:31" x14ac:dyDescent="0.25">
      <c r="B243" s="213"/>
      <c r="C243" s="215" t="s">
        <v>50</v>
      </c>
      <c r="D243" s="215" t="s">
        <v>51</v>
      </c>
      <c r="E243" s="215" t="s">
        <v>52</v>
      </c>
      <c r="F243" s="215" t="s">
        <v>53</v>
      </c>
      <c r="G243" s="215" t="s">
        <v>54</v>
      </c>
      <c r="H243" s="215" t="s">
        <v>55</v>
      </c>
      <c r="I243" s="215" t="s">
        <v>56</v>
      </c>
      <c r="J243" s="215" t="s">
        <v>57</v>
      </c>
      <c r="K243" s="215" t="s">
        <v>58</v>
      </c>
      <c r="L243" s="215" t="s">
        <v>59</v>
      </c>
      <c r="M243" s="215" t="s">
        <v>60</v>
      </c>
      <c r="N243" s="215" t="s">
        <v>61</v>
      </c>
      <c r="O243" s="220" t="s">
        <v>62</v>
      </c>
      <c r="P243" s="221"/>
      <c r="S243" s="283" t="s">
        <v>203</v>
      </c>
      <c r="T243" s="283" t="s">
        <v>50</v>
      </c>
      <c r="U243" s="283" t="s">
        <v>51</v>
      </c>
      <c r="V243" s="283" t="s">
        <v>52</v>
      </c>
      <c r="W243" s="283" t="s">
        <v>53</v>
      </c>
      <c r="X243" s="283" t="s">
        <v>54</v>
      </c>
      <c r="Y243" s="283" t="s">
        <v>55</v>
      </c>
      <c r="Z243" s="283" t="s">
        <v>56</v>
      </c>
      <c r="AA243" s="283" t="s">
        <v>57</v>
      </c>
      <c r="AB243" s="283" t="s">
        <v>58</v>
      </c>
      <c r="AC243" s="283" t="s">
        <v>59</v>
      </c>
      <c r="AD243" s="283" t="s">
        <v>60</v>
      </c>
      <c r="AE243" s="283" t="s">
        <v>61</v>
      </c>
    </row>
    <row r="244" spans="2:31" x14ac:dyDescent="0.25">
      <c r="B244" s="214"/>
      <c r="C244" s="216"/>
      <c r="D244" s="216"/>
      <c r="E244" s="216"/>
      <c r="F244" s="216"/>
      <c r="G244" s="216"/>
      <c r="H244" s="216"/>
      <c r="I244" s="216"/>
      <c r="J244" s="216"/>
      <c r="K244" s="216"/>
      <c r="L244" s="216"/>
      <c r="M244" s="216"/>
      <c r="N244" s="216"/>
      <c r="O244" s="58" t="s">
        <v>64</v>
      </c>
      <c r="P244" s="58" t="s">
        <v>65</v>
      </c>
      <c r="S244" s="283"/>
      <c r="T244" s="283"/>
      <c r="U244" s="283"/>
      <c r="V244" s="283"/>
      <c r="W244" s="283"/>
      <c r="X244" s="283"/>
      <c r="Y244" s="283"/>
      <c r="Z244" s="283"/>
      <c r="AA244" s="283"/>
      <c r="AB244" s="283"/>
      <c r="AC244" s="283"/>
      <c r="AD244" s="283"/>
      <c r="AE244" s="283"/>
    </row>
    <row r="245" spans="2:31" x14ac:dyDescent="0.25">
      <c r="B245" s="59" t="s">
        <v>68</v>
      </c>
      <c r="C245" s="59">
        <f t="shared" ref="C245:N245" si="128">C190</f>
        <v>1125.4027200000005</v>
      </c>
      <c r="D245" s="59">
        <f t="shared" si="128"/>
        <v>1125.4027200000005</v>
      </c>
      <c r="E245" s="59">
        <f t="shared" si="128"/>
        <v>1125.4027200000005</v>
      </c>
      <c r="F245" s="59">
        <f t="shared" si="128"/>
        <v>1125.4027200000005</v>
      </c>
      <c r="G245" s="59">
        <f t="shared" si="128"/>
        <v>1125.4027200000005</v>
      </c>
      <c r="H245" s="59">
        <f t="shared" si="128"/>
        <v>1125.4027200000005</v>
      </c>
      <c r="I245" s="59">
        <f t="shared" si="128"/>
        <v>1125.4027200000005</v>
      </c>
      <c r="J245" s="59">
        <f t="shared" si="128"/>
        <v>1125.4027200000005</v>
      </c>
      <c r="K245" s="59">
        <f t="shared" si="128"/>
        <v>1125.4027200000005</v>
      </c>
      <c r="L245" s="59">
        <f t="shared" si="128"/>
        <v>1125.4027200000005</v>
      </c>
      <c r="M245" s="59">
        <f t="shared" si="128"/>
        <v>1125.4027200000005</v>
      </c>
      <c r="N245" s="59">
        <f t="shared" si="128"/>
        <v>1125.4027200000005</v>
      </c>
      <c r="O245" s="34"/>
      <c r="P245" s="34"/>
      <c r="S245" s="59" t="s">
        <v>204</v>
      </c>
      <c r="T245" s="59">
        <f t="shared" ref="T245:AE245" si="129">C259</f>
        <v>6555.7439999999997</v>
      </c>
      <c r="U245" s="59">
        <f t="shared" si="129"/>
        <v>6752.4163200000021</v>
      </c>
      <c r="V245" s="59">
        <f t="shared" si="129"/>
        <v>6752.4163200000021</v>
      </c>
      <c r="W245" s="59">
        <f t="shared" si="129"/>
        <v>6752.4163200000021</v>
      </c>
      <c r="X245" s="59">
        <f t="shared" si="129"/>
        <v>6752.4163200000021</v>
      </c>
      <c r="Y245" s="59">
        <f t="shared" si="129"/>
        <v>6752.4163200000021</v>
      </c>
      <c r="Z245" s="59">
        <f t="shared" si="129"/>
        <v>6752.4163200000021</v>
      </c>
      <c r="AA245" s="59">
        <f t="shared" si="129"/>
        <v>6752.4163200000021</v>
      </c>
      <c r="AB245" s="59">
        <f t="shared" si="129"/>
        <v>6752.4163200000021</v>
      </c>
      <c r="AC245" s="59">
        <f t="shared" si="129"/>
        <v>6752.4163200000021</v>
      </c>
      <c r="AD245" s="59">
        <f t="shared" si="129"/>
        <v>6752.4163200000021</v>
      </c>
      <c r="AE245" s="59">
        <f t="shared" si="129"/>
        <v>6752.4163200000021</v>
      </c>
    </row>
    <row r="246" spans="2:31" x14ac:dyDescent="0.25">
      <c r="B246" s="34" t="s">
        <v>79</v>
      </c>
      <c r="C246" s="34">
        <f t="shared" ref="C246:N246" si="130">C199</f>
        <v>382.6369248000002</v>
      </c>
      <c r="D246" s="34">
        <f t="shared" si="130"/>
        <v>382.6369248000002</v>
      </c>
      <c r="E246" s="34">
        <f t="shared" si="130"/>
        <v>382.6369248000002</v>
      </c>
      <c r="F246" s="34">
        <f t="shared" si="130"/>
        <v>382.6369248000002</v>
      </c>
      <c r="G246" s="34">
        <f t="shared" si="130"/>
        <v>382.6369248000002</v>
      </c>
      <c r="H246" s="34">
        <f t="shared" si="130"/>
        <v>382.6369248000002</v>
      </c>
      <c r="I246" s="34">
        <f t="shared" si="130"/>
        <v>382.6369248000002</v>
      </c>
      <c r="J246" s="34">
        <f t="shared" si="130"/>
        <v>382.6369248000002</v>
      </c>
      <c r="K246" s="34">
        <f t="shared" si="130"/>
        <v>382.6369248000002</v>
      </c>
      <c r="L246" s="34">
        <f t="shared" si="130"/>
        <v>382.6369248000002</v>
      </c>
      <c r="M246" s="34">
        <f t="shared" si="130"/>
        <v>382.6369248000002</v>
      </c>
      <c r="N246" s="34">
        <f t="shared" si="130"/>
        <v>382.6369248000002</v>
      </c>
      <c r="O246" s="34"/>
      <c r="P246" s="34"/>
      <c r="S246" s="34" t="s">
        <v>205</v>
      </c>
      <c r="T246" s="34"/>
      <c r="U246" s="34"/>
      <c r="V246" s="34"/>
      <c r="W246" s="34"/>
      <c r="X246" s="34"/>
      <c r="Y246" s="34"/>
      <c r="Z246" s="34"/>
      <c r="AA246" s="34"/>
      <c r="AB246" s="34"/>
      <c r="AC246" s="34"/>
      <c r="AD246" s="34"/>
      <c r="AE246" s="34"/>
    </row>
    <row r="247" spans="2:31" x14ac:dyDescent="0.25">
      <c r="B247" s="34" t="s">
        <v>86</v>
      </c>
      <c r="C247" s="34">
        <f t="shared" ref="C247:N247" si="131">C208+C212</f>
        <v>1575.5238095238096</v>
      </c>
      <c r="D247" s="34">
        <f t="shared" si="131"/>
        <v>1575.5238095238096</v>
      </c>
      <c r="E247" s="34">
        <f t="shared" si="131"/>
        <v>1575.5238095238096</v>
      </c>
      <c r="F247" s="34">
        <f t="shared" si="131"/>
        <v>1575.5238095238096</v>
      </c>
      <c r="G247" s="34">
        <f t="shared" si="131"/>
        <v>1575.5238095238096</v>
      </c>
      <c r="H247" s="34">
        <f t="shared" si="131"/>
        <v>1575.5238095238096</v>
      </c>
      <c r="I247" s="34">
        <f t="shared" si="131"/>
        <v>1575.5238095238096</v>
      </c>
      <c r="J247" s="34">
        <f t="shared" si="131"/>
        <v>1575.5238095238096</v>
      </c>
      <c r="K247" s="34">
        <f t="shared" si="131"/>
        <v>1575.5238095238096</v>
      </c>
      <c r="L247" s="34">
        <f t="shared" si="131"/>
        <v>1575.5238095238096</v>
      </c>
      <c r="M247" s="34">
        <f t="shared" si="131"/>
        <v>1575.5238095238096</v>
      </c>
      <c r="N247" s="34">
        <f t="shared" si="131"/>
        <v>1575.5238095238096</v>
      </c>
      <c r="O247" s="34"/>
      <c r="P247" s="34"/>
      <c r="S247" s="34" t="s">
        <v>206</v>
      </c>
      <c r="T247" s="34"/>
      <c r="U247" s="34"/>
      <c r="V247" s="34"/>
      <c r="W247" s="34"/>
      <c r="X247" s="34"/>
      <c r="Y247" s="34"/>
      <c r="Z247" s="34"/>
      <c r="AA247" s="34"/>
      <c r="AB247" s="34"/>
      <c r="AC247" s="34"/>
      <c r="AD247" s="34"/>
      <c r="AE247" s="34"/>
    </row>
    <row r="248" spans="2:31" x14ac:dyDescent="0.25">
      <c r="B248" s="59" t="s">
        <v>113</v>
      </c>
      <c r="C248" s="59">
        <f t="shared" ref="C248:N248" si="132">C237</f>
        <v>0</v>
      </c>
      <c r="D248" s="59">
        <f t="shared" si="132"/>
        <v>0</v>
      </c>
      <c r="E248" s="59">
        <f t="shared" si="132"/>
        <v>0</v>
      </c>
      <c r="F248" s="59">
        <f t="shared" si="132"/>
        <v>0</v>
      </c>
      <c r="G248" s="59">
        <f t="shared" si="132"/>
        <v>0</v>
      </c>
      <c r="H248" s="59">
        <f t="shared" si="132"/>
        <v>0</v>
      </c>
      <c r="I248" s="59">
        <f t="shared" si="132"/>
        <v>0</v>
      </c>
      <c r="J248" s="59">
        <f t="shared" si="132"/>
        <v>0</v>
      </c>
      <c r="K248" s="59">
        <f t="shared" si="132"/>
        <v>0</v>
      </c>
      <c r="L248" s="59">
        <f t="shared" si="132"/>
        <v>0</v>
      </c>
      <c r="M248" s="59">
        <f t="shared" si="132"/>
        <v>0</v>
      </c>
      <c r="N248" s="59">
        <f t="shared" si="132"/>
        <v>0</v>
      </c>
      <c r="O248" s="34"/>
      <c r="P248" s="34"/>
      <c r="S248" s="34" t="s">
        <v>207</v>
      </c>
      <c r="T248" s="34"/>
      <c r="U248" s="34"/>
      <c r="V248" s="34"/>
      <c r="W248" s="34"/>
      <c r="X248" s="34"/>
      <c r="Y248" s="34"/>
      <c r="Z248" s="34"/>
      <c r="AA248" s="34"/>
      <c r="AB248" s="34"/>
      <c r="AC248" s="34"/>
      <c r="AD248" s="34"/>
      <c r="AE248" s="34"/>
    </row>
    <row r="249" spans="2:31" x14ac:dyDescent="0.25">
      <c r="B249" s="44" t="s">
        <v>117</v>
      </c>
      <c r="C249" s="42">
        <f t="shared" ref="C249:N249" si="133">C246+C247+C248</f>
        <v>1958.1607343238097</v>
      </c>
      <c r="D249" s="42">
        <f t="shared" si="133"/>
        <v>1958.1607343238097</v>
      </c>
      <c r="E249" s="42">
        <f t="shared" si="133"/>
        <v>1958.1607343238097</v>
      </c>
      <c r="F249" s="42">
        <f t="shared" si="133"/>
        <v>1958.1607343238097</v>
      </c>
      <c r="G249" s="42">
        <f t="shared" si="133"/>
        <v>1958.1607343238097</v>
      </c>
      <c r="H249" s="42">
        <f t="shared" si="133"/>
        <v>1958.1607343238097</v>
      </c>
      <c r="I249" s="42">
        <f t="shared" si="133"/>
        <v>1958.1607343238097</v>
      </c>
      <c r="J249" s="42">
        <f t="shared" si="133"/>
        <v>1958.1607343238097</v>
      </c>
      <c r="K249" s="42">
        <f t="shared" si="133"/>
        <v>1958.1607343238097</v>
      </c>
      <c r="L249" s="42">
        <f t="shared" si="133"/>
        <v>1958.1607343238097</v>
      </c>
      <c r="M249" s="42">
        <f t="shared" si="133"/>
        <v>1958.1607343238097</v>
      </c>
      <c r="N249" s="42">
        <f t="shared" si="133"/>
        <v>1958.1607343238097</v>
      </c>
      <c r="O249" s="34"/>
      <c r="P249" s="34"/>
      <c r="S249" s="59" t="s">
        <v>210</v>
      </c>
      <c r="T249" s="59">
        <f t="shared" ref="T249:AE249" si="134">T245+T248</f>
        <v>6555.7439999999997</v>
      </c>
      <c r="U249" s="59">
        <f t="shared" si="134"/>
        <v>6752.4163200000021</v>
      </c>
      <c r="V249" s="59">
        <f t="shared" si="134"/>
        <v>6752.4163200000021</v>
      </c>
      <c r="W249" s="59">
        <f t="shared" si="134"/>
        <v>6752.4163200000021</v>
      </c>
      <c r="X249" s="59">
        <f t="shared" si="134"/>
        <v>6752.4163200000021</v>
      </c>
      <c r="Y249" s="59">
        <f t="shared" si="134"/>
        <v>6752.4163200000021</v>
      </c>
      <c r="Z249" s="59">
        <f t="shared" si="134"/>
        <v>6752.4163200000021</v>
      </c>
      <c r="AA249" s="59">
        <f t="shared" si="134"/>
        <v>6752.4163200000021</v>
      </c>
      <c r="AB249" s="59">
        <f t="shared" si="134"/>
        <v>6752.4163200000021</v>
      </c>
      <c r="AC249" s="59">
        <f t="shared" si="134"/>
        <v>6752.4163200000021</v>
      </c>
      <c r="AD249" s="59">
        <f t="shared" si="134"/>
        <v>6752.4163200000021</v>
      </c>
      <c r="AE249" s="59">
        <f t="shared" si="134"/>
        <v>6752.4163200000021</v>
      </c>
    </row>
    <row r="250" spans="2:31" x14ac:dyDescent="0.25">
      <c r="B250" s="45" t="s">
        <v>118</v>
      </c>
      <c r="C250" s="43">
        <f t="shared" ref="C250:N250" si="135">C245-C249</f>
        <v>-832.75801432380922</v>
      </c>
      <c r="D250" s="43">
        <f t="shared" si="135"/>
        <v>-832.75801432380922</v>
      </c>
      <c r="E250" s="43">
        <f t="shared" si="135"/>
        <v>-832.75801432380922</v>
      </c>
      <c r="F250" s="43">
        <f t="shared" si="135"/>
        <v>-832.75801432380922</v>
      </c>
      <c r="G250" s="43">
        <f t="shared" si="135"/>
        <v>-832.75801432380922</v>
      </c>
      <c r="H250" s="43">
        <f t="shared" si="135"/>
        <v>-832.75801432380922</v>
      </c>
      <c r="I250" s="43">
        <f t="shared" si="135"/>
        <v>-832.75801432380922</v>
      </c>
      <c r="J250" s="43">
        <f t="shared" si="135"/>
        <v>-832.75801432380922</v>
      </c>
      <c r="K250" s="43">
        <f t="shared" si="135"/>
        <v>-832.75801432380922</v>
      </c>
      <c r="L250" s="43">
        <f t="shared" si="135"/>
        <v>-832.75801432380922</v>
      </c>
      <c r="M250" s="43">
        <f t="shared" si="135"/>
        <v>-832.75801432380922</v>
      </c>
      <c r="N250" s="43">
        <f t="shared" si="135"/>
        <v>-832.75801432380922</v>
      </c>
      <c r="O250" s="34"/>
      <c r="P250" s="34"/>
      <c r="S250" s="34" t="s">
        <v>211</v>
      </c>
      <c r="T250" s="34">
        <f t="shared" ref="T250:AE250" si="136">C269</f>
        <v>46852.758249752376</v>
      </c>
      <c r="U250" s="34">
        <f t="shared" si="136"/>
        <v>46791.206391619045</v>
      </c>
      <c r="V250" s="34">
        <f t="shared" si="136"/>
        <v>46791.206391619045</v>
      </c>
      <c r="W250" s="34">
        <f t="shared" si="136"/>
        <v>46791.206391619045</v>
      </c>
      <c r="X250" s="34">
        <f t="shared" si="136"/>
        <v>46791.206391619045</v>
      </c>
      <c r="Y250" s="34">
        <f t="shared" si="136"/>
        <v>46791.206391619045</v>
      </c>
      <c r="Z250" s="34">
        <f t="shared" si="136"/>
        <v>46791.206391619045</v>
      </c>
      <c r="AA250" s="34">
        <f t="shared" si="136"/>
        <v>46791.206391619045</v>
      </c>
      <c r="AB250" s="34">
        <f t="shared" si="136"/>
        <v>46791.206391619045</v>
      </c>
      <c r="AC250" s="34">
        <f t="shared" si="136"/>
        <v>54991.206391619045</v>
      </c>
      <c r="AD250" s="34">
        <f t="shared" si="136"/>
        <v>46791.206391619045</v>
      </c>
      <c r="AE250" s="34">
        <f t="shared" si="136"/>
        <v>46791.206391619045</v>
      </c>
    </row>
    <row r="251" spans="2:31" x14ac:dyDescent="0.25">
      <c r="B251" s="59" t="s">
        <v>81</v>
      </c>
      <c r="C251" s="59">
        <f>P159</f>
        <v>-771.20615619047612</v>
      </c>
      <c r="D251" s="59">
        <f t="shared" ref="D251:N251" si="137">C250</f>
        <v>-832.75801432380922</v>
      </c>
      <c r="E251" s="59">
        <f t="shared" si="137"/>
        <v>-832.75801432380922</v>
      </c>
      <c r="F251" s="59">
        <f t="shared" si="137"/>
        <v>-832.75801432380922</v>
      </c>
      <c r="G251" s="59">
        <f t="shared" si="137"/>
        <v>-832.75801432380922</v>
      </c>
      <c r="H251" s="59">
        <f t="shared" si="137"/>
        <v>-832.75801432380922</v>
      </c>
      <c r="I251" s="59">
        <f t="shared" si="137"/>
        <v>-832.75801432380922</v>
      </c>
      <c r="J251" s="59">
        <f t="shared" si="137"/>
        <v>-832.75801432380922</v>
      </c>
      <c r="K251" s="59">
        <f t="shared" si="137"/>
        <v>-832.75801432380922</v>
      </c>
      <c r="L251" s="59">
        <f t="shared" si="137"/>
        <v>-832.75801432380922</v>
      </c>
      <c r="M251" s="59">
        <f t="shared" si="137"/>
        <v>-832.75801432380922</v>
      </c>
      <c r="N251" s="59">
        <f t="shared" si="137"/>
        <v>-832.75801432380922</v>
      </c>
      <c r="O251" s="60" t="s">
        <v>119</v>
      </c>
      <c r="P251" s="61">
        <f>N250</f>
        <v>-832.75801432380922</v>
      </c>
      <c r="S251" s="34" t="s">
        <v>212</v>
      </c>
      <c r="T251" s="34">
        <f>AE153*0.07</f>
        <v>142.59</v>
      </c>
      <c r="U251" s="34">
        <f t="shared" ref="U251:AE251" si="138">T248*0.07</f>
        <v>0</v>
      </c>
      <c r="V251" s="34">
        <f t="shared" si="138"/>
        <v>0</v>
      </c>
      <c r="W251" s="34">
        <f t="shared" si="138"/>
        <v>0</v>
      </c>
      <c r="X251" s="34">
        <f t="shared" si="138"/>
        <v>0</v>
      </c>
      <c r="Y251" s="34">
        <f t="shared" si="138"/>
        <v>0</v>
      </c>
      <c r="Z251" s="34">
        <f t="shared" si="138"/>
        <v>0</v>
      </c>
      <c r="AA251" s="34">
        <f t="shared" si="138"/>
        <v>0</v>
      </c>
      <c r="AB251" s="34">
        <f t="shared" si="138"/>
        <v>0</v>
      </c>
      <c r="AC251" s="34">
        <f t="shared" si="138"/>
        <v>0</v>
      </c>
      <c r="AD251" s="34">
        <f t="shared" si="138"/>
        <v>0</v>
      </c>
      <c r="AE251" s="34">
        <f t="shared" si="138"/>
        <v>0</v>
      </c>
    </row>
    <row r="252" spans="2:31" x14ac:dyDescent="0.25">
      <c r="S252" s="59" t="s">
        <v>213</v>
      </c>
      <c r="T252" s="59">
        <f t="shared" ref="T252:AE252" si="139">T250+T251</f>
        <v>46995.348249752373</v>
      </c>
      <c r="U252" s="59">
        <f t="shared" si="139"/>
        <v>46791.206391619045</v>
      </c>
      <c r="V252" s="59">
        <f t="shared" si="139"/>
        <v>46791.206391619045</v>
      </c>
      <c r="W252" s="59">
        <f t="shared" si="139"/>
        <v>46791.206391619045</v>
      </c>
      <c r="X252" s="59">
        <f t="shared" si="139"/>
        <v>46791.206391619045</v>
      </c>
      <c r="Y252" s="59">
        <f t="shared" si="139"/>
        <v>46791.206391619045</v>
      </c>
      <c r="Z252" s="59">
        <f t="shared" si="139"/>
        <v>46791.206391619045</v>
      </c>
      <c r="AA252" s="59">
        <f t="shared" si="139"/>
        <v>46791.206391619045</v>
      </c>
      <c r="AB252" s="59">
        <f t="shared" si="139"/>
        <v>46791.206391619045</v>
      </c>
      <c r="AC252" s="59">
        <f t="shared" si="139"/>
        <v>54991.206391619045</v>
      </c>
      <c r="AD252" s="59">
        <f t="shared" si="139"/>
        <v>46791.206391619045</v>
      </c>
      <c r="AE252" s="59">
        <f t="shared" si="139"/>
        <v>46791.206391619045</v>
      </c>
    </row>
    <row r="253" spans="2:31" x14ac:dyDescent="0.25">
      <c r="S253" s="34" t="s">
        <v>132</v>
      </c>
      <c r="T253" s="34">
        <f>AE160</f>
        <v>-965522.92476571421</v>
      </c>
      <c r="U253" s="34">
        <f t="shared" ref="U253:AE253" si="140">T255</f>
        <v>-1005962.5290154666</v>
      </c>
      <c r="V253" s="34">
        <f t="shared" si="140"/>
        <v>-1046001.3190870857</v>
      </c>
      <c r="W253" s="34">
        <f t="shared" si="140"/>
        <v>-1086040.1091587048</v>
      </c>
      <c r="X253" s="34">
        <f t="shared" si="140"/>
        <v>-1126078.8992303237</v>
      </c>
      <c r="Y253" s="34">
        <f t="shared" si="140"/>
        <v>-1166117.6893019427</v>
      </c>
      <c r="Z253" s="34">
        <f t="shared" si="140"/>
        <v>-1206156.4793735617</v>
      </c>
      <c r="AA253" s="34">
        <f t="shared" si="140"/>
        <v>-1246195.2694451807</v>
      </c>
      <c r="AB253" s="34">
        <f t="shared" si="140"/>
        <v>-1286234.0595167996</v>
      </c>
      <c r="AC253" s="34">
        <f t="shared" si="140"/>
        <v>-1326272.8495884186</v>
      </c>
      <c r="AD253" s="34">
        <f t="shared" si="140"/>
        <v>-1374511.6396600376</v>
      </c>
      <c r="AE253" s="34">
        <f t="shared" si="140"/>
        <v>-1414550.4297316566</v>
      </c>
    </row>
    <row r="254" spans="2:31" x14ac:dyDescent="0.25">
      <c r="B254" s="288" t="s">
        <v>163</v>
      </c>
      <c r="C254" s="288"/>
      <c r="D254" s="288"/>
      <c r="E254" s="288"/>
      <c r="F254" s="288"/>
      <c r="G254" s="288"/>
      <c r="H254" s="288"/>
      <c r="I254" s="288"/>
      <c r="J254" s="288"/>
      <c r="K254" s="288"/>
      <c r="L254" s="288"/>
      <c r="M254" s="288"/>
      <c r="N254" s="288"/>
      <c r="O254" s="288"/>
      <c r="P254" s="288"/>
      <c r="S254" s="34" t="s">
        <v>133</v>
      </c>
      <c r="T254" s="34">
        <f t="shared" ref="T254:AE254" si="141">T249-T252</f>
        <v>-40439.604249752374</v>
      </c>
      <c r="U254" s="34">
        <f t="shared" si="141"/>
        <v>-40038.790071619042</v>
      </c>
      <c r="V254" s="34">
        <f t="shared" si="141"/>
        <v>-40038.790071619042</v>
      </c>
      <c r="W254" s="34">
        <f t="shared" si="141"/>
        <v>-40038.790071619042</v>
      </c>
      <c r="X254" s="34">
        <f t="shared" si="141"/>
        <v>-40038.790071619042</v>
      </c>
      <c r="Y254" s="34">
        <f t="shared" si="141"/>
        <v>-40038.790071619042</v>
      </c>
      <c r="Z254" s="34">
        <f t="shared" si="141"/>
        <v>-40038.790071619042</v>
      </c>
      <c r="AA254" s="34">
        <f t="shared" si="141"/>
        <v>-40038.790071619042</v>
      </c>
      <c r="AB254" s="34">
        <f t="shared" si="141"/>
        <v>-40038.790071619042</v>
      </c>
      <c r="AC254" s="34">
        <f t="shared" si="141"/>
        <v>-48238.790071619042</v>
      </c>
      <c r="AD254" s="34">
        <f t="shared" si="141"/>
        <v>-40038.790071619042</v>
      </c>
      <c r="AE254" s="34">
        <f t="shared" si="141"/>
        <v>-40038.790071619042</v>
      </c>
    </row>
    <row r="255" spans="2:31" x14ac:dyDescent="0.25">
      <c r="B255" s="213"/>
      <c r="C255" s="215" t="s">
        <v>50</v>
      </c>
      <c r="D255" s="215" t="s">
        <v>51</v>
      </c>
      <c r="E255" s="215" t="s">
        <v>52</v>
      </c>
      <c r="F255" s="215" t="s">
        <v>53</v>
      </c>
      <c r="G255" s="215" t="s">
        <v>54</v>
      </c>
      <c r="H255" s="215" t="s">
        <v>55</v>
      </c>
      <c r="I255" s="215" t="s">
        <v>56</v>
      </c>
      <c r="J255" s="215" t="s">
        <v>57</v>
      </c>
      <c r="K255" s="215" t="s">
        <v>58</v>
      </c>
      <c r="L255" s="215" t="s">
        <v>59</v>
      </c>
      <c r="M255" s="215" t="s">
        <v>60</v>
      </c>
      <c r="N255" s="215" t="s">
        <v>61</v>
      </c>
      <c r="O255" s="220" t="s">
        <v>62</v>
      </c>
      <c r="P255" s="221"/>
      <c r="S255" s="34" t="s">
        <v>214</v>
      </c>
      <c r="T255" s="34">
        <f t="shared" ref="T255:AE255" si="142">T253+T254</f>
        <v>-1005962.5290154666</v>
      </c>
      <c r="U255" s="34">
        <f t="shared" si="142"/>
        <v>-1046001.3190870857</v>
      </c>
      <c r="V255" s="34">
        <f t="shared" si="142"/>
        <v>-1086040.1091587048</v>
      </c>
      <c r="W255" s="34">
        <f t="shared" si="142"/>
        <v>-1126078.8992303237</v>
      </c>
      <c r="X255" s="34">
        <f t="shared" si="142"/>
        <v>-1166117.6893019427</v>
      </c>
      <c r="Y255" s="34">
        <f t="shared" si="142"/>
        <v>-1206156.4793735617</v>
      </c>
      <c r="Z255" s="34">
        <f t="shared" si="142"/>
        <v>-1246195.2694451807</v>
      </c>
      <c r="AA255" s="34">
        <f t="shared" si="142"/>
        <v>-1286234.0595167996</v>
      </c>
      <c r="AB255" s="34">
        <f t="shared" si="142"/>
        <v>-1326272.8495884186</v>
      </c>
      <c r="AC255" s="34">
        <f t="shared" si="142"/>
        <v>-1374511.6396600376</v>
      </c>
      <c r="AD255" s="34">
        <f t="shared" si="142"/>
        <v>-1414550.4297316566</v>
      </c>
      <c r="AE255" s="34">
        <f t="shared" si="142"/>
        <v>-1454589.2198032755</v>
      </c>
    </row>
    <row r="256" spans="2:31" x14ac:dyDescent="0.25">
      <c r="B256" s="214"/>
      <c r="C256" s="216"/>
      <c r="D256" s="216"/>
      <c r="E256" s="216"/>
      <c r="F256" s="216"/>
      <c r="G256" s="216"/>
      <c r="H256" s="216"/>
      <c r="I256" s="216"/>
      <c r="J256" s="216"/>
      <c r="K256" s="216"/>
      <c r="L256" s="216"/>
      <c r="M256" s="216"/>
      <c r="N256" s="216"/>
      <c r="O256" s="58" t="s">
        <v>64</v>
      </c>
      <c r="P256" s="58" t="s">
        <v>65</v>
      </c>
    </row>
    <row r="257" spans="2:31" x14ac:dyDescent="0.25">
      <c r="B257" s="35" t="s">
        <v>121</v>
      </c>
      <c r="C257" s="35">
        <f t="shared" ref="C257:N257" si="143">C192</f>
        <v>6555.7439999999997</v>
      </c>
      <c r="D257" s="35">
        <f t="shared" si="143"/>
        <v>6752.4163200000021</v>
      </c>
      <c r="E257" s="35">
        <f t="shared" si="143"/>
        <v>6752.4163200000021</v>
      </c>
      <c r="F257" s="35">
        <f t="shared" si="143"/>
        <v>6752.4163200000021</v>
      </c>
      <c r="G257" s="35">
        <f t="shared" si="143"/>
        <v>6752.4163200000021</v>
      </c>
      <c r="H257" s="35">
        <f t="shared" si="143"/>
        <v>6752.4163200000021</v>
      </c>
      <c r="I257" s="35">
        <f t="shared" si="143"/>
        <v>6752.4163200000021</v>
      </c>
      <c r="J257" s="43">
        <f t="shared" si="143"/>
        <v>6752.4163200000021</v>
      </c>
      <c r="K257" s="35">
        <f t="shared" si="143"/>
        <v>6752.4163200000021</v>
      </c>
      <c r="L257" s="35">
        <f t="shared" si="143"/>
        <v>6752.4163200000021</v>
      </c>
      <c r="M257" s="35">
        <f t="shared" si="143"/>
        <v>6752.4163200000021</v>
      </c>
      <c r="N257" s="35">
        <f t="shared" si="143"/>
        <v>6752.4163200000021</v>
      </c>
      <c r="O257" s="34"/>
      <c r="P257" s="34"/>
    </row>
    <row r="258" spans="2:31" x14ac:dyDescent="0.25">
      <c r="B258" s="34" t="s">
        <v>122</v>
      </c>
      <c r="C258" s="34"/>
      <c r="D258" s="34"/>
      <c r="E258" s="34"/>
      <c r="F258" s="34"/>
      <c r="G258" s="34"/>
      <c r="H258" s="34"/>
      <c r="I258" s="34"/>
      <c r="J258" s="34"/>
      <c r="K258" s="34"/>
      <c r="L258" s="34"/>
      <c r="M258" s="34"/>
      <c r="N258" s="34"/>
      <c r="O258" s="34"/>
      <c r="P258" s="34"/>
    </row>
    <row r="259" spans="2:31" x14ac:dyDescent="0.25">
      <c r="B259" s="59" t="s">
        <v>123</v>
      </c>
      <c r="C259" s="59">
        <f t="shared" ref="C259:N259" si="144">C258+C257</f>
        <v>6555.7439999999997</v>
      </c>
      <c r="D259" s="59">
        <f t="shared" si="144"/>
        <v>6752.4163200000021</v>
      </c>
      <c r="E259" s="59">
        <f t="shared" si="144"/>
        <v>6752.4163200000021</v>
      </c>
      <c r="F259" s="59">
        <f t="shared" si="144"/>
        <v>6752.4163200000021</v>
      </c>
      <c r="G259" s="59">
        <f t="shared" si="144"/>
        <v>6752.4163200000021</v>
      </c>
      <c r="H259" s="59">
        <f t="shared" si="144"/>
        <v>6752.4163200000021</v>
      </c>
      <c r="I259" s="59">
        <f t="shared" si="144"/>
        <v>6752.4163200000021</v>
      </c>
      <c r="J259" s="59">
        <f t="shared" si="144"/>
        <v>6752.4163200000021</v>
      </c>
      <c r="K259" s="59">
        <f t="shared" si="144"/>
        <v>6752.4163200000021</v>
      </c>
      <c r="L259" s="59">
        <f t="shared" si="144"/>
        <v>6752.4163200000021</v>
      </c>
      <c r="M259" s="59">
        <f t="shared" si="144"/>
        <v>6752.4163200000021</v>
      </c>
      <c r="N259" s="59">
        <f t="shared" si="144"/>
        <v>6752.4163200000021</v>
      </c>
      <c r="O259" s="34"/>
      <c r="P259" s="34"/>
      <c r="S259" s="228" t="s">
        <v>154</v>
      </c>
      <c r="T259" s="229"/>
      <c r="V259" s="224" t="s">
        <v>157</v>
      </c>
      <c r="W259" s="224"/>
      <c r="X259" s="224"/>
      <c r="Y259" s="224"/>
      <c r="Z259" s="224"/>
      <c r="AA259" s="224"/>
    </row>
    <row r="260" spans="2:31" ht="30" x14ac:dyDescent="0.25">
      <c r="B260" s="39" t="s">
        <v>124</v>
      </c>
      <c r="C260" s="41">
        <f t="shared" ref="C260:N260" si="145">C201</f>
        <v>2295.821548800001</v>
      </c>
      <c r="D260" s="41">
        <f t="shared" si="145"/>
        <v>2295.821548800001</v>
      </c>
      <c r="E260" s="41">
        <f t="shared" si="145"/>
        <v>2295.821548800001</v>
      </c>
      <c r="F260" s="41">
        <f t="shared" si="145"/>
        <v>2295.821548800001</v>
      </c>
      <c r="G260" s="41">
        <f t="shared" si="145"/>
        <v>2295.821548800001</v>
      </c>
      <c r="H260" s="41">
        <f t="shared" si="145"/>
        <v>2295.821548800001</v>
      </c>
      <c r="I260" s="41">
        <f t="shared" si="145"/>
        <v>2295.821548800001</v>
      </c>
      <c r="J260" s="41">
        <f t="shared" si="145"/>
        <v>2295.821548800001</v>
      </c>
      <c r="K260" s="41">
        <f t="shared" si="145"/>
        <v>2295.821548800001</v>
      </c>
      <c r="L260" s="41">
        <f t="shared" si="145"/>
        <v>2295.821548800001</v>
      </c>
      <c r="M260" s="41">
        <f t="shared" si="145"/>
        <v>2295.821548800001</v>
      </c>
      <c r="N260" s="41">
        <f t="shared" si="145"/>
        <v>2295.821548800001</v>
      </c>
      <c r="O260" s="34"/>
      <c r="P260" s="34"/>
      <c r="S260" s="143" t="s">
        <v>1</v>
      </c>
      <c r="T260" s="21">
        <f>P189</f>
        <v>67524.163200000039</v>
      </c>
      <c r="V260" s="144" t="s">
        <v>2</v>
      </c>
      <c r="W260" s="145" t="s">
        <v>3</v>
      </c>
      <c r="X260" s="145" t="s">
        <v>4</v>
      </c>
      <c r="Y260" s="145" t="s">
        <v>5</v>
      </c>
      <c r="Z260" s="146" t="s">
        <v>6</v>
      </c>
      <c r="AA260" s="147" t="s">
        <v>5</v>
      </c>
      <c r="AB260" s="287"/>
      <c r="AC260" s="286"/>
      <c r="AD260" s="286"/>
      <c r="AE260" s="286"/>
    </row>
    <row r="261" spans="2:31" x14ac:dyDescent="0.25">
      <c r="B261" s="39" t="s">
        <v>125</v>
      </c>
      <c r="C261" s="41"/>
      <c r="D261" s="41"/>
      <c r="E261" s="41"/>
      <c r="F261" s="41"/>
      <c r="G261" s="41"/>
      <c r="H261" s="41"/>
      <c r="I261" s="41"/>
      <c r="J261" s="41"/>
      <c r="K261" s="41"/>
      <c r="L261" s="41"/>
      <c r="M261" s="41"/>
      <c r="N261" s="41"/>
      <c r="O261" s="34"/>
      <c r="P261" s="34"/>
      <c r="S261" s="143" t="s">
        <v>67</v>
      </c>
      <c r="T261" s="21">
        <v>0</v>
      </c>
      <c r="V261" s="148" t="s">
        <v>8</v>
      </c>
      <c r="W261" s="148">
        <f>SUM(W262:W265)</f>
        <v>214000</v>
      </c>
      <c r="X261" s="148">
        <f>SUM(X262:X263)</f>
        <v>61600</v>
      </c>
      <c r="Y261" s="148">
        <f>SUM(Y262:Y263)</f>
        <v>152400</v>
      </c>
      <c r="Z261" s="148" t="s">
        <v>9</v>
      </c>
      <c r="AA261" s="149">
        <f>SUM(AA262:AA265)</f>
        <v>-1382061.0454689523</v>
      </c>
      <c r="AB261" s="287"/>
      <c r="AC261" s="286"/>
      <c r="AD261" s="286"/>
      <c r="AE261" s="286"/>
    </row>
    <row r="262" spans="2:31" ht="30" x14ac:dyDescent="0.25">
      <c r="B262" s="39" t="s">
        <v>126</v>
      </c>
      <c r="C262" s="41">
        <f t="shared" ref="C262:N262" si="146">C218</f>
        <v>25625</v>
      </c>
      <c r="D262" s="41">
        <f t="shared" si="146"/>
        <v>25625</v>
      </c>
      <c r="E262" s="41">
        <f t="shared" si="146"/>
        <v>25625</v>
      </c>
      <c r="F262" s="41">
        <f t="shared" si="146"/>
        <v>25625</v>
      </c>
      <c r="G262" s="41">
        <f t="shared" si="146"/>
        <v>25625</v>
      </c>
      <c r="H262" s="41">
        <f t="shared" si="146"/>
        <v>25625</v>
      </c>
      <c r="I262" s="41">
        <f t="shared" si="146"/>
        <v>25625</v>
      </c>
      <c r="J262" s="41">
        <f t="shared" si="146"/>
        <v>25625</v>
      </c>
      <c r="K262" s="41">
        <f t="shared" si="146"/>
        <v>25625</v>
      </c>
      <c r="L262" s="41">
        <f t="shared" si="146"/>
        <v>25625</v>
      </c>
      <c r="M262" s="41">
        <f t="shared" si="146"/>
        <v>25625</v>
      </c>
      <c r="N262" s="41">
        <f t="shared" si="146"/>
        <v>25625</v>
      </c>
      <c r="O262" s="34"/>
      <c r="P262" s="34"/>
      <c r="S262" s="144" t="s">
        <v>10</v>
      </c>
      <c r="T262" s="131">
        <f>T260+T261</f>
        <v>67524.163200000039</v>
      </c>
      <c r="V262" s="150" t="s">
        <v>11</v>
      </c>
      <c r="W262" s="150">
        <f>W167</f>
        <v>159000</v>
      </c>
      <c r="X262" s="150">
        <f>X167+P216*0.75</f>
        <v>25375</v>
      </c>
      <c r="Y262" s="150">
        <f>W262-X262</f>
        <v>133625</v>
      </c>
      <c r="Z262" s="150" t="s">
        <v>12</v>
      </c>
      <c r="AA262" s="151">
        <f>AA167</f>
        <v>80000</v>
      </c>
      <c r="AB262" s="162"/>
      <c r="AC262" s="118"/>
      <c r="AD262" s="118"/>
      <c r="AE262" s="118"/>
    </row>
    <row r="263" spans="2:31" x14ac:dyDescent="0.25">
      <c r="B263" s="35" t="s">
        <v>21</v>
      </c>
      <c r="C263" s="35">
        <f>C220</f>
        <v>10250</v>
      </c>
      <c r="D263" s="35">
        <f t="shared" ref="D263:N263" si="147">D220</f>
        <v>10250</v>
      </c>
      <c r="E263" s="35">
        <f t="shared" si="147"/>
        <v>10250</v>
      </c>
      <c r="F263" s="35">
        <f t="shared" si="147"/>
        <v>10250</v>
      </c>
      <c r="G263" s="35">
        <f t="shared" si="147"/>
        <v>10250</v>
      </c>
      <c r="H263" s="35">
        <f t="shared" si="147"/>
        <v>10250</v>
      </c>
      <c r="I263" s="35">
        <f t="shared" si="147"/>
        <v>10250</v>
      </c>
      <c r="J263" s="35">
        <f t="shared" si="147"/>
        <v>10250</v>
      </c>
      <c r="K263" s="35">
        <f t="shared" si="147"/>
        <v>10250</v>
      </c>
      <c r="L263" s="35">
        <f t="shared" si="147"/>
        <v>10250</v>
      </c>
      <c r="M263" s="35">
        <f t="shared" si="147"/>
        <v>10250</v>
      </c>
      <c r="N263" s="35">
        <f t="shared" si="147"/>
        <v>10250</v>
      </c>
      <c r="O263" s="34"/>
      <c r="P263" s="34"/>
      <c r="S263" s="143" t="s">
        <v>70</v>
      </c>
      <c r="T263" s="21">
        <f>P198</f>
        <v>22958.215488000013</v>
      </c>
      <c r="V263" s="150" t="s">
        <v>14</v>
      </c>
      <c r="W263" s="150">
        <f>W168</f>
        <v>55000</v>
      </c>
      <c r="X263" s="150">
        <f>X168+P216*0.25</f>
        <v>36225</v>
      </c>
      <c r="Y263" s="150">
        <f>W263-X263</f>
        <v>18775</v>
      </c>
      <c r="Z263" s="150" t="s">
        <v>15</v>
      </c>
      <c r="AA263" s="151">
        <v>5000</v>
      </c>
      <c r="AB263" s="152"/>
    </row>
    <row r="264" spans="2:31" x14ac:dyDescent="0.25">
      <c r="B264" s="34" t="s">
        <v>102</v>
      </c>
      <c r="C264" s="34">
        <f t="shared" ref="C264:N264" si="148">C227</f>
        <v>0</v>
      </c>
      <c r="D264" s="34">
        <f t="shared" si="148"/>
        <v>0</v>
      </c>
      <c r="E264" s="34">
        <f t="shared" si="148"/>
        <v>0</v>
      </c>
      <c r="F264" s="34">
        <f t="shared" si="148"/>
        <v>0</v>
      </c>
      <c r="G264" s="34">
        <f t="shared" si="148"/>
        <v>0</v>
      </c>
      <c r="H264" s="34">
        <f t="shared" si="148"/>
        <v>0</v>
      </c>
      <c r="I264" s="34">
        <f t="shared" si="148"/>
        <v>0</v>
      </c>
      <c r="J264" s="34">
        <f t="shared" si="148"/>
        <v>0</v>
      </c>
      <c r="K264" s="34">
        <f t="shared" si="148"/>
        <v>0</v>
      </c>
      <c r="L264" s="34">
        <f t="shared" si="148"/>
        <v>8200</v>
      </c>
      <c r="M264" s="34">
        <f t="shared" si="148"/>
        <v>0</v>
      </c>
      <c r="N264" s="34">
        <f t="shared" si="148"/>
        <v>0</v>
      </c>
      <c r="O264" s="34"/>
      <c r="P264" s="34"/>
      <c r="S264" s="143" t="s">
        <v>73</v>
      </c>
      <c r="T264" s="21">
        <f>P207+P209+P210+P211</f>
        <v>94531.428571428565</v>
      </c>
      <c r="V264" s="148"/>
      <c r="W264" s="148"/>
      <c r="X264" s="148"/>
      <c r="Y264" s="148"/>
      <c r="Z264" s="150" t="s">
        <v>17</v>
      </c>
      <c r="AA264" s="151">
        <f>AA169+AA170</f>
        <v>-970752.97460952378</v>
      </c>
      <c r="AB264" s="152"/>
    </row>
    <row r="265" spans="2:31" x14ac:dyDescent="0.25">
      <c r="B265" s="34" t="s">
        <v>127</v>
      </c>
      <c r="C265" s="34">
        <f t="shared" ref="C265:N265" si="149">C214</f>
        <v>9453.1428571428551</v>
      </c>
      <c r="D265" s="34">
        <f t="shared" si="149"/>
        <v>9453.1428571428551</v>
      </c>
      <c r="E265" s="34">
        <f t="shared" si="149"/>
        <v>9453.1428571428551</v>
      </c>
      <c r="F265" s="34">
        <f t="shared" si="149"/>
        <v>9453.1428571428551</v>
      </c>
      <c r="G265" s="34">
        <f t="shared" si="149"/>
        <v>9453.1428571428551</v>
      </c>
      <c r="H265" s="34">
        <f t="shared" si="149"/>
        <v>9453.1428571428551</v>
      </c>
      <c r="I265" s="34">
        <f t="shared" si="149"/>
        <v>9453.1428571428551</v>
      </c>
      <c r="J265" s="34">
        <f t="shared" si="149"/>
        <v>9453.1428571428551</v>
      </c>
      <c r="K265" s="34">
        <f t="shared" si="149"/>
        <v>9453.1428571428551</v>
      </c>
      <c r="L265" s="34">
        <f t="shared" si="149"/>
        <v>9453.1428571428551</v>
      </c>
      <c r="M265" s="34">
        <f t="shared" si="149"/>
        <v>9453.1428571428551</v>
      </c>
      <c r="N265" s="34">
        <f t="shared" si="149"/>
        <v>9453.1428571428551</v>
      </c>
      <c r="O265" s="34"/>
      <c r="P265" s="34"/>
      <c r="S265" s="143" t="s">
        <v>18</v>
      </c>
      <c r="T265" s="21">
        <f>P226</f>
        <v>8200</v>
      </c>
      <c r="V265" s="150"/>
      <c r="W265" s="150"/>
      <c r="X265" s="150"/>
      <c r="Y265" s="150"/>
      <c r="Z265" s="150" t="s">
        <v>19</v>
      </c>
      <c r="AA265" s="151">
        <f>T277</f>
        <v>-496308.07085942855</v>
      </c>
      <c r="AB265" s="152"/>
    </row>
    <row r="266" spans="2:31" x14ac:dyDescent="0.25">
      <c r="B266" s="34" t="s">
        <v>128</v>
      </c>
      <c r="C266" s="34">
        <f t="shared" ref="C266:N266" si="150">C230</f>
        <v>0</v>
      </c>
      <c r="D266" s="34">
        <f t="shared" si="150"/>
        <v>0</v>
      </c>
      <c r="E266" s="34">
        <f t="shared" si="150"/>
        <v>0</v>
      </c>
      <c r="F266" s="34">
        <f t="shared" si="150"/>
        <v>0</v>
      </c>
      <c r="G266" s="34">
        <f t="shared" si="150"/>
        <v>0</v>
      </c>
      <c r="H266" s="34">
        <f t="shared" si="150"/>
        <v>0</v>
      </c>
      <c r="I266" s="34">
        <f t="shared" si="150"/>
        <v>0</v>
      </c>
      <c r="J266" s="34">
        <f t="shared" si="150"/>
        <v>0</v>
      </c>
      <c r="K266" s="34">
        <f t="shared" si="150"/>
        <v>0</v>
      </c>
      <c r="L266" s="34">
        <f t="shared" si="150"/>
        <v>0</v>
      </c>
      <c r="M266" s="34">
        <f t="shared" si="150"/>
        <v>0</v>
      </c>
      <c r="N266" s="34">
        <f t="shared" si="150"/>
        <v>0</v>
      </c>
      <c r="O266" s="34"/>
      <c r="P266" s="34"/>
      <c r="S266" s="143" t="s">
        <v>20</v>
      </c>
      <c r="T266" s="21">
        <f>P218</f>
        <v>307500</v>
      </c>
      <c r="V266" s="152"/>
      <c r="W266" s="153"/>
      <c r="Y266" s="153"/>
      <c r="Z266" s="151"/>
      <c r="AA266" s="149"/>
      <c r="AB266" s="162"/>
      <c r="AC266" s="118"/>
      <c r="AD266" s="118"/>
      <c r="AE266" s="118"/>
    </row>
    <row r="267" spans="2:31" x14ac:dyDescent="0.25">
      <c r="B267" s="34" t="s">
        <v>129</v>
      </c>
      <c r="C267" s="34">
        <f t="shared" ref="C267:N267" si="151">C238</f>
        <v>0</v>
      </c>
      <c r="D267" s="34">
        <f t="shared" si="151"/>
        <v>0</v>
      </c>
      <c r="E267" s="34">
        <f t="shared" si="151"/>
        <v>0</v>
      </c>
      <c r="F267" s="34">
        <f t="shared" si="151"/>
        <v>0</v>
      </c>
      <c r="G267" s="34">
        <f t="shared" si="151"/>
        <v>0</v>
      </c>
      <c r="H267" s="34">
        <f t="shared" si="151"/>
        <v>0</v>
      </c>
      <c r="I267" s="34">
        <f t="shared" si="151"/>
        <v>0</v>
      </c>
      <c r="J267" s="34">
        <f t="shared" si="151"/>
        <v>0</v>
      </c>
      <c r="K267" s="34">
        <f t="shared" si="151"/>
        <v>0</v>
      </c>
      <c r="L267" s="34">
        <f t="shared" si="151"/>
        <v>0</v>
      </c>
      <c r="M267" s="34">
        <f t="shared" si="151"/>
        <v>0</v>
      </c>
      <c r="N267" s="34">
        <f t="shared" si="151"/>
        <v>0</v>
      </c>
      <c r="O267" s="34"/>
      <c r="P267" s="34"/>
      <c r="S267" s="143" t="s">
        <v>21</v>
      </c>
      <c r="T267" s="21">
        <f>P219</f>
        <v>123000</v>
      </c>
      <c r="V267" s="148" t="s">
        <v>22</v>
      </c>
      <c r="W267" s="148">
        <f>SUM(W268:W270)</f>
        <v>-1432836.8034832755</v>
      </c>
      <c r="X267" s="148">
        <f>SUM(X268:X270)</f>
        <v>0</v>
      </c>
      <c r="Y267" s="148">
        <f>SUM(Y268:Y270)</f>
        <v>-1432836.8034832755</v>
      </c>
      <c r="Z267" s="148" t="s">
        <v>23</v>
      </c>
      <c r="AA267" s="149">
        <f>SUM(AA268:AA271)</f>
        <v>82602.241985676199</v>
      </c>
      <c r="AB267" s="152"/>
    </row>
    <row r="268" spans="2:31" ht="30" x14ac:dyDescent="0.25">
      <c r="B268" s="34" t="s">
        <v>130</v>
      </c>
      <c r="C268" s="34">
        <f t="shared" ref="C268:N268" si="152">C251</f>
        <v>-771.20615619047612</v>
      </c>
      <c r="D268" s="34">
        <f t="shared" si="152"/>
        <v>-832.75801432380922</v>
      </c>
      <c r="E268" s="34">
        <f t="shared" si="152"/>
        <v>-832.75801432380922</v>
      </c>
      <c r="F268" s="34">
        <f t="shared" si="152"/>
        <v>-832.75801432380922</v>
      </c>
      <c r="G268" s="34">
        <f t="shared" si="152"/>
        <v>-832.75801432380922</v>
      </c>
      <c r="H268" s="34">
        <f t="shared" si="152"/>
        <v>-832.75801432380922</v>
      </c>
      <c r="I268" s="34">
        <f t="shared" si="152"/>
        <v>-832.75801432380922</v>
      </c>
      <c r="J268" s="34">
        <f t="shared" si="152"/>
        <v>-832.75801432380922</v>
      </c>
      <c r="K268" s="34">
        <f t="shared" si="152"/>
        <v>-832.75801432380922</v>
      </c>
      <c r="L268" s="34">
        <f t="shared" si="152"/>
        <v>-832.75801432380922</v>
      </c>
      <c r="M268" s="34">
        <f t="shared" si="152"/>
        <v>-832.75801432380922</v>
      </c>
      <c r="N268" s="34">
        <f t="shared" si="152"/>
        <v>-832.75801432380922</v>
      </c>
      <c r="O268" s="34"/>
      <c r="P268" s="34"/>
      <c r="S268" s="143" t="s">
        <v>75</v>
      </c>
      <c r="T268" s="21">
        <f>P216</f>
        <v>7500</v>
      </c>
      <c r="V268" s="150" t="s">
        <v>25</v>
      </c>
      <c r="W268" s="150">
        <v>15000</v>
      </c>
      <c r="X268" s="150"/>
      <c r="Y268" s="150">
        <f>W268-X268</f>
        <v>15000</v>
      </c>
      <c r="Z268" s="150" t="s">
        <v>26</v>
      </c>
      <c r="AA268" s="151">
        <f>0</f>
        <v>0</v>
      </c>
      <c r="AB268" s="152"/>
    </row>
    <row r="269" spans="2:31" x14ac:dyDescent="0.25">
      <c r="B269" s="59" t="s">
        <v>131</v>
      </c>
      <c r="C269" s="59">
        <f>SUM(C260:C268)</f>
        <v>46852.758249752376</v>
      </c>
      <c r="D269" s="59">
        <f t="shared" ref="D269:N269" si="153">SUM(D260:D268)</f>
        <v>46791.206391619045</v>
      </c>
      <c r="E269" s="59">
        <f t="shared" si="153"/>
        <v>46791.206391619045</v>
      </c>
      <c r="F269" s="59">
        <f t="shared" si="153"/>
        <v>46791.206391619045</v>
      </c>
      <c r="G269" s="59">
        <f t="shared" si="153"/>
        <v>46791.206391619045</v>
      </c>
      <c r="H269" s="59">
        <f t="shared" si="153"/>
        <v>46791.206391619045</v>
      </c>
      <c r="I269" s="59">
        <f t="shared" si="153"/>
        <v>46791.206391619045</v>
      </c>
      <c r="J269" s="59">
        <f t="shared" si="153"/>
        <v>46791.206391619045</v>
      </c>
      <c r="K269" s="59">
        <f t="shared" si="153"/>
        <v>46791.206391619045</v>
      </c>
      <c r="L269" s="59">
        <f t="shared" si="153"/>
        <v>54991.206391619045</v>
      </c>
      <c r="M269" s="59">
        <f t="shared" si="153"/>
        <v>46791.206391619045</v>
      </c>
      <c r="N269" s="59">
        <f t="shared" si="153"/>
        <v>46791.206391619045</v>
      </c>
      <c r="O269" s="34"/>
      <c r="P269" s="34"/>
      <c r="S269" s="144" t="s">
        <v>76</v>
      </c>
      <c r="T269" s="131">
        <f>SUM(T263:T268)</f>
        <v>563689.6440594286</v>
      </c>
      <c r="V269" s="150" t="s">
        <v>28</v>
      </c>
      <c r="W269" s="150">
        <f>P192</f>
        <v>6752.4163200000021</v>
      </c>
      <c r="X269" s="150"/>
      <c r="Y269" s="150">
        <f>W269-X269</f>
        <v>6752.4163200000021</v>
      </c>
      <c r="Z269" s="150" t="s">
        <v>29</v>
      </c>
      <c r="AA269" s="151">
        <v>0</v>
      </c>
      <c r="AB269" s="162"/>
      <c r="AC269" s="118"/>
      <c r="AD269" s="118"/>
      <c r="AE269" s="118"/>
    </row>
    <row r="270" spans="2:31" x14ac:dyDescent="0.25">
      <c r="B270" s="59" t="s">
        <v>132</v>
      </c>
      <c r="C270" s="59">
        <f>W175</f>
        <v>-965522.92476571421</v>
      </c>
      <c r="D270" s="59">
        <f t="shared" ref="D270:N270" si="154">C272</f>
        <v>-1005819.9390154666</v>
      </c>
      <c r="E270" s="59">
        <f t="shared" si="154"/>
        <v>-1045858.7290870857</v>
      </c>
      <c r="F270" s="59">
        <f t="shared" si="154"/>
        <v>-1085897.5191587047</v>
      </c>
      <c r="G270" s="59">
        <f t="shared" si="154"/>
        <v>-1125936.3092303236</v>
      </c>
      <c r="H270" s="59">
        <f t="shared" si="154"/>
        <v>-1165975.0993019426</v>
      </c>
      <c r="I270" s="59">
        <f t="shared" si="154"/>
        <v>-1206013.8893735616</v>
      </c>
      <c r="J270" s="59">
        <f t="shared" si="154"/>
        <v>-1246052.6794451806</v>
      </c>
      <c r="K270" s="59">
        <f t="shared" si="154"/>
        <v>-1286091.4695167996</v>
      </c>
      <c r="L270" s="59">
        <f t="shared" si="154"/>
        <v>-1326130.2595884185</v>
      </c>
      <c r="M270" s="59">
        <f t="shared" si="154"/>
        <v>-1374369.0496600375</v>
      </c>
      <c r="N270" s="59">
        <f t="shared" si="154"/>
        <v>-1414407.8397316565</v>
      </c>
      <c r="O270" s="34"/>
      <c r="P270" s="34"/>
      <c r="S270" s="154" t="s">
        <v>30</v>
      </c>
      <c r="T270" s="155">
        <f>T262-T269</f>
        <v>-496165.48085942853</v>
      </c>
      <c r="V270" s="150" t="s">
        <v>34</v>
      </c>
      <c r="W270" s="150">
        <f>AE255</f>
        <v>-1454589.2198032755</v>
      </c>
      <c r="X270" s="150"/>
      <c r="Y270" s="150">
        <f>W270-X270</f>
        <v>-1454589.2198032755</v>
      </c>
      <c r="Z270" s="150" t="s">
        <v>32</v>
      </c>
      <c r="AA270" s="151">
        <f>P251+P220</f>
        <v>9417.2419856761917</v>
      </c>
      <c r="AB270" s="152"/>
    </row>
    <row r="271" spans="2:31" x14ac:dyDescent="0.25">
      <c r="B271" s="34" t="s">
        <v>133</v>
      </c>
      <c r="C271" s="34">
        <f>C259-C269</f>
        <v>-40297.014249752378</v>
      </c>
      <c r="D271" s="34">
        <f t="shared" ref="D271:N271" si="155">D259-D269</f>
        <v>-40038.790071619042</v>
      </c>
      <c r="E271" s="34">
        <f t="shared" si="155"/>
        <v>-40038.790071619042</v>
      </c>
      <c r="F271" s="34">
        <f t="shared" si="155"/>
        <v>-40038.790071619042</v>
      </c>
      <c r="G271" s="34">
        <f t="shared" si="155"/>
        <v>-40038.790071619042</v>
      </c>
      <c r="H271" s="34">
        <f t="shared" si="155"/>
        <v>-40038.790071619042</v>
      </c>
      <c r="I271" s="34">
        <f t="shared" si="155"/>
        <v>-40038.790071619042</v>
      </c>
      <c r="J271" s="34">
        <f t="shared" si="155"/>
        <v>-40038.790071619042</v>
      </c>
      <c r="K271" s="34">
        <f t="shared" si="155"/>
        <v>-40038.790071619042</v>
      </c>
      <c r="L271" s="34">
        <f t="shared" si="155"/>
        <v>-48238.790071619042</v>
      </c>
      <c r="M271" s="34">
        <f t="shared" si="155"/>
        <v>-40038.790071619042</v>
      </c>
      <c r="N271" s="34">
        <f t="shared" si="155"/>
        <v>-40038.790071619042</v>
      </c>
      <c r="O271" s="34"/>
      <c r="P271" s="34"/>
      <c r="S271" s="144" t="s">
        <v>33</v>
      </c>
      <c r="T271" s="131">
        <v>0</v>
      </c>
      <c r="V271" s="150"/>
      <c r="W271" s="150"/>
      <c r="X271" s="150"/>
      <c r="Y271" s="150"/>
      <c r="Z271" s="150" t="s">
        <v>221</v>
      </c>
      <c r="AA271" s="151">
        <f>SUM(T248:AE248)+AA176</f>
        <v>73185</v>
      </c>
      <c r="AB271" s="152"/>
    </row>
    <row r="272" spans="2:31" x14ac:dyDescent="0.25">
      <c r="B272" s="59" t="s">
        <v>134</v>
      </c>
      <c r="C272" s="59">
        <f t="shared" ref="C272:N272" si="156">C270+C271</f>
        <v>-1005819.9390154666</v>
      </c>
      <c r="D272" s="59">
        <f t="shared" si="156"/>
        <v>-1045858.7290870857</v>
      </c>
      <c r="E272" s="59">
        <f t="shared" si="156"/>
        <v>-1085897.5191587047</v>
      </c>
      <c r="F272" s="59">
        <f t="shared" si="156"/>
        <v>-1125936.3092303236</v>
      </c>
      <c r="G272" s="59">
        <f t="shared" si="156"/>
        <v>-1165975.0993019426</v>
      </c>
      <c r="H272" s="59">
        <f t="shared" si="156"/>
        <v>-1206013.8893735616</v>
      </c>
      <c r="I272" s="59">
        <f t="shared" si="156"/>
        <v>-1246052.6794451806</v>
      </c>
      <c r="J272" s="59">
        <f t="shared" si="156"/>
        <v>-1286091.4695167996</v>
      </c>
      <c r="K272" s="59">
        <f t="shared" si="156"/>
        <v>-1326130.2595884185</v>
      </c>
      <c r="L272" s="59">
        <f t="shared" si="156"/>
        <v>-1374369.0496600375</v>
      </c>
      <c r="M272" s="59">
        <f t="shared" si="156"/>
        <v>-1414407.8397316565</v>
      </c>
      <c r="N272" s="59">
        <f t="shared" si="156"/>
        <v>-1454446.6298032755</v>
      </c>
      <c r="O272" s="60" t="s">
        <v>135</v>
      </c>
      <c r="P272" s="61">
        <f>N272</f>
        <v>-1454446.6298032755</v>
      </c>
      <c r="S272" s="143" t="s">
        <v>36</v>
      </c>
      <c r="T272" s="21">
        <f>SUM(T251:AE251)</f>
        <v>142.59</v>
      </c>
      <c r="V272" s="156" t="s">
        <v>38</v>
      </c>
      <c r="W272" s="156">
        <f>W261+W267</f>
        <v>-1218836.8034832755</v>
      </c>
      <c r="X272" s="156">
        <f>X261</f>
        <v>61600</v>
      </c>
      <c r="Y272" s="156">
        <f>W272-X272</f>
        <v>-1280436.8034832755</v>
      </c>
      <c r="Z272" s="156" t="s">
        <v>39</v>
      </c>
      <c r="AA272" s="157">
        <f>AA261+AA267</f>
        <v>-1299458.8034832762</v>
      </c>
      <c r="AB272" s="152"/>
    </row>
    <row r="273" spans="19:27" x14ac:dyDescent="0.25">
      <c r="S273" s="144" t="s">
        <v>37</v>
      </c>
      <c r="T273" s="131">
        <f>T272</f>
        <v>142.59</v>
      </c>
      <c r="Z273" s="158" t="s">
        <v>42</v>
      </c>
      <c r="AA273" s="159">
        <f>Y272-AA272</f>
        <v>19022.000000000698</v>
      </c>
    </row>
    <row r="274" spans="19:27" x14ac:dyDescent="0.25">
      <c r="S274" s="154" t="s">
        <v>40</v>
      </c>
      <c r="T274" s="155">
        <f>T271-T273</f>
        <v>-142.59</v>
      </c>
    </row>
    <row r="275" spans="19:27" x14ac:dyDescent="0.25">
      <c r="S275" s="154" t="s">
        <v>43</v>
      </c>
      <c r="T275" s="155">
        <f>T270-(-T274)</f>
        <v>-496308.07085942855</v>
      </c>
    </row>
    <row r="276" spans="19:27" x14ac:dyDescent="0.25">
      <c r="S276" s="154" t="s">
        <v>45</v>
      </c>
      <c r="T276" s="21"/>
    </row>
    <row r="277" spans="19:27" x14ac:dyDescent="0.25">
      <c r="S277" s="160" t="s">
        <v>47</v>
      </c>
      <c r="T277" s="161">
        <f>T275</f>
        <v>-496308.07085942855</v>
      </c>
    </row>
  </sheetData>
  <mergeCells count="371">
    <mergeCell ref="J3:J4"/>
    <mergeCell ref="K3:K4"/>
    <mergeCell ref="L3:L4"/>
    <mergeCell ref="M3:M4"/>
    <mergeCell ref="N3:N4"/>
    <mergeCell ref="O3:P3"/>
    <mergeCell ref="B1:P1"/>
    <mergeCell ref="B2:P2"/>
    <mergeCell ref="B3:B4"/>
    <mergeCell ref="C3:C4"/>
    <mergeCell ref="D3:D4"/>
    <mergeCell ref="E3:E4"/>
    <mergeCell ref="F3:F4"/>
    <mergeCell ref="G3:G4"/>
    <mergeCell ref="H3:H4"/>
    <mergeCell ref="I3:I4"/>
    <mergeCell ref="B11:P11"/>
    <mergeCell ref="B12:B13"/>
    <mergeCell ref="C12:C13"/>
    <mergeCell ref="D12:D13"/>
    <mergeCell ref="E12:E13"/>
    <mergeCell ref="F12:F13"/>
    <mergeCell ref="G12:G13"/>
    <mergeCell ref="H12:H13"/>
    <mergeCell ref="I12:I13"/>
    <mergeCell ref="J12:J13"/>
    <mergeCell ref="K12:K13"/>
    <mergeCell ref="L12:L13"/>
    <mergeCell ref="M12:M13"/>
    <mergeCell ref="N12:N13"/>
    <mergeCell ref="O12:P12"/>
    <mergeCell ref="B20:P20"/>
    <mergeCell ref="I39:I40"/>
    <mergeCell ref="J39:J40"/>
    <mergeCell ref="K39:K40"/>
    <mergeCell ref="L39:L40"/>
    <mergeCell ref="M39:M40"/>
    <mergeCell ref="N39:N40"/>
    <mergeCell ref="N21:N22"/>
    <mergeCell ref="O21:P21"/>
    <mergeCell ref="B38:P38"/>
    <mergeCell ref="B39:B40"/>
    <mergeCell ref="C39:C40"/>
    <mergeCell ref="D39:D40"/>
    <mergeCell ref="E39:E40"/>
    <mergeCell ref="G39:G40"/>
    <mergeCell ref="H39:H40"/>
    <mergeCell ref="H21:H22"/>
    <mergeCell ref="I21:I22"/>
    <mergeCell ref="J21:J22"/>
    <mergeCell ref="K21:K22"/>
    <mergeCell ref="L21:L22"/>
    <mergeCell ref="M21:M22"/>
    <mergeCell ref="D21:D22"/>
    <mergeCell ref="E21:E22"/>
    <mergeCell ref="F21:F22"/>
    <mergeCell ref="G21:G22"/>
    <mergeCell ref="B21:B22"/>
    <mergeCell ref="C21:C22"/>
    <mergeCell ref="AD48:AD49"/>
    <mergeCell ref="AE48:AE49"/>
    <mergeCell ref="B49:P49"/>
    <mergeCell ref="B50:B51"/>
    <mergeCell ref="C50:C51"/>
    <mergeCell ref="D50:D51"/>
    <mergeCell ref="E50:E51"/>
    <mergeCell ref="F50:F51"/>
    <mergeCell ref="G50:G51"/>
    <mergeCell ref="H50:H51"/>
    <mergeCell ref="X48:X49"/>
    <mergeCell ref="Y48:Y49"/>
    <mergeCell ref="Z48:Z49"/>
    <mergeCell ref="AA48:AA49"/>
    <mergeCell ref="AB48:AB49"/>
    <mergeCell ref="AC48:AC49"/>
    <mergeCell ref="S48:S49"/>
    <mergeCell ref="T48:T49"/>
    <mergeCell ref="U48:U49"/>
    <mergeCell ref="V48:V49"/>
    <mergeCell ref="W48:W49"/>
    <mergeCell ref="F39:F40"/>
    <mergeCell ref="J59:J60"/>
    <mergeCell ref="K59:K60"/>
    <mergeCell ref="L59:L60"/>
    <mergeCell ref="M59:M60"/>
    <mergeCell ref="N59:N60"/>
    <mergeCell ref="O59:P59"/>
    <mergeCell ref="O50:P50"/>
    <mergeCell ref="B58:P58"/>
    <mergeCell ref="B59:B60"/>
    <mergeCell ref="C59:C60"/>
    <mergeCell ref="D59:D60"/>
    <mergeCell ref="E59:E60"/>
    <mergeCell ref="F59:F60"/>
    <mergeCell ref="G59:G60"/>
    <mergeCell ref="H59:H60"/>
    <mergeCell ref="I59:I60"/>
    <mergeCell ref="I50:I51"/>
    <mergeCell ref="J50:J51"/>
    <mergeCell ref="K50:K51"/>
    <mergeCell ref="L50:L51"/>
    <mergeCell ref="M50:M51"/>
    <mergeCell ref="N50:N51"/>
    <mergeCell ref="O39:P39"/>
    <mergeCell ref="B70:P70"/>
    <mergeCell ref="B71:B72"/>
    <mergeCell ref="C71:C72"/>
    <mergeCell ref="D71:D72"/>
    <mergeCell ref="E71:E72"/>
    <mergeCell ref="F71:F72"/>
    <mergeCell ref="G71:G72"/>
    <mergeCell ref="H71:H72"/>
    <mergeCell ref="I71:I72"/>
    <mergeCell ref="J71:J72"/>
    <mergeCell ref="V71:AA71"/>
    <mergeCell ref="B92:P92"/>
    <mergeCell ref="B95:P95"/>
    <mergeCell ref="B96:B97"/>
    <mergeCell ref="C96:C97"/>
    <mergeCell ref="D96:D97"/>
    <mergeCell ref="E96:E97"/>
    <mergeCell ref="F96:F97"/>
    <mergeCell ref="G96:G97"/>
    <mergeCell ref="H96:H97"/>
    <mergeCell ref="K71:K72"/>
    <mergeCell ref="L71:L72"/>
    <mergeCell ref="M71:M72"/>
    <mergeCell ref="N71:N72"/>
    <mergeCell ref="O71:P71"/>
    <mergeCell ref="S71:T71"/>
    <mergeCell ref="J105:J106"/>
    <mergeCell ref="K105:K106"/>
    <mergeCell ref="L105:L106"/>
    <mergeCell ref="M105:M106"/>
    <mergeCell ref="N105:N106"/>
    <mergeCell ref="O105:P105"/>
    <mergeCell ref="O96:P96"/>
    <mergeCell ref="B104:P104"/>
    <mergeCell ref="B105:B106"/>
    <mergeCell ref="C105:C106"/>
    <mergeCell ref="D105:D106"/>
    <mergeCell ref="E105:E106"/>
    <mergeCell ref="F105:F106"/>
    <mergeCell ref="G105:G106"/>
    <mergeCell ref="H105:H106"/>
    <mergeCell ref="I105:I106"/>
    <mergeCell ref="I96:I97"/>
    <mergeCell ref="J96:J97"/>
    <mergeCell ref="K96:K97"/>
    <mergeCell ref="L96:L97"/>
    <mergeCell ref="M96:M97"/>
    <mergeCell ref="N96:N97"/>
    <mergeCell ref="K114:K115"/>
    <mergeCell ref="L114:L115"/>
    <mergeCell ref="M114:M115"/>
    <mergeCell ref="N114:N115"/>
    <mergeCell ref="O114:P114"/>
    <mergeCell ref="B131:P131"/>
    <mergeCell ref="B113:P113"/>
    <mergeCell ref="B114:B115"/>
    <mergeCell ref="C114:C115"/>
    <mergeCell ref="D114:D115"/>
    <mergeCell ref="E114:E115"/>
    <mergeCell ref="F114:F115"/>
    <mergeCell ref="G114:G115"/>
    <mergeCell ref="H114:H115"/>
    <mergeCell ref="I114:I115"/>
    <mergeCell ref="J114:J115"/>
    <mergeCell ref="N132:N133"/>
    <mergeCell ref="O132:P132"/>
    <mergeCell ref="B141:P141"/>
    <mergeCell ref="B142:B143"/>
    <mergeCell ref="C142:C143"/>
    <mergeCell ref="D142:D143"/>
    <mergeCell ref="E142:E143"/>
    <mergeCell ref="F142:F143"/>
    <mergeCell ref="G142:G143"/>
    <mergeCell ref="H142:H143"/>
    <mergeCell ref="H132:H133"/>
    <mergeCell ref="I132:I133"/>
    <mergeCell ref="J132:J133"/>
    <mergeCell ref="K132:K133"/>
    <mergeCell ref="L132:L133"/>
    <mergeCell ref="M132:M133"/>
    <mergeCell ref="B132:B133"/>
    <mergeCell ref="C132:C133"/>
    <mergeCell ref="D132:D133"/>
    <mergeCell ref="E132:E133"/>
    <mergeCell ref="F132:F133"/>
    <mergeCell ref="G132:G133"/>
    <mergeCell ref="O142:P142"/>
    <mergeCell ref="T148:T149"/>
    <mergeCell ref="U148:U149"/>
    <mergeCell ref="V148:V149"/>
    <mergeCell ref="W148:W149"/>
    <mergeCell ref="I142:I143"/>
    <mergeCell ref="J142:J143"/>
    <mergeCell ref="K142:K143"/>
    <mergeCell ref="L142:L143"/>
    <mergeCell ref="M142:M143"/>
    <mergeCell ref="N142:N143"/>
    <mergeCell ref="AD148:AD149"/>
    <mergeCell ref="AE148:AE149"/>
    <mergeCell ref="B150:P150"/>
    <mergeCell ref="B151:B152"/>
    <mergeCell ref="C151:C152"/>
    <mergeCell ref="D151:D152"/>
    <mergeCell ref="E151:E152"/>
    <mergeCell ref="F151:F152"/>
    <mergeCell ref="G151:G152"/>
    <mergeCell ref="H151:H152"/>
    <mergeCell ref="X148:X149"/>
    <mergeCell ref="Y148:Y149"/>
    <mergeCell ref="Z148:Z149"/>
    <mergeCell ref="AA148:AA149"/>
    <mergeCell ref="AB148:AB149"/>
    <mergeCell ref="AC148:AC149"/>
    <mergeCell ref="O151:P151"/>
    <mergeCell ref="I151:I152"/>
    <mergeCell ref="J151:J152"/>
    <mergeCell ref="K151:K152"/>
    <mergeCell ref="L151:L152"/>
    <mergeCell ref="M151:M152"/>
    <mergeCell ref="N151:N152"/>
    <mergeCell ref="S148:S149"/>
    <mergeCell ref="B162:P162"/>
    <mergeCell ref="B163:B164"/>
    <mergeCell ref="C163:C164"/>
    <mergeCell ref="D163:D164"/>
    <mergeCell ref="E163:E164"/>
    <mergeCell ref="F163:F164"/>
    <mergeCell ref="G163:G164"/>
    <mergeCell ref="H163:H164"/>
    <mergeCell ref="I163:I164"/>
    <mergeCell ref="S164:T164"/>
    <mergeCell ref="V164:AA164"/>
    <mergeCell ref="AB165:AB166"/>
    <mergeCell ref="AC165:AC166"/>
    <mergeCell ref="AD165:AD166"/>
    <mergeCell ref="AE165:AE166"/>
    <mergeCell ref="J163:J164"/>
    <mergeCell ref="K163:K164"/>
    <mergeCell ref="L163:L164"/>
    <mergeCell ref="M163:M164"/>
    <mergeCell ref="N163:N164"/>
    <mergeCell ref="O163:P163"/>
    <mergeCell ref="J187:J188"/>
    <mergeCell ref="K187:K188"/>
    <mergeCell ref="L187:L188"/>
    <mergeCell ref="M187:M188"/>
    <mergeCell ref="N187:N188"/>
    <mergeCell ref="O187:P187"/>
    <mergeCell ref="B183:P183"/>
    <mergeCell ref="B186:P186"/>
    <mergeCell ref="B187:B188"/>
    <mergeCell ref="C187:C188"/>
    <mergeCell ref="D187:D188"/>
    <mergeCell ref="E187:E188"/>
    <mergeCell ref="F187:F188"/>
    <mergeCell ref="G187:G188"/>
    <mergeCell ref="H187:H188"/>
    <mergeCell ref="I187:I188"/>
    <mergeCell ref="K196:K197"/>
    <mergeCell ref="L196:L197"/>
    <mergeCell ref="M196:M197"/>
    <mergeCell ref="N196:N197"/>
    <mergeCell ref="O196:P196"/>
    <mergeCell ref="B204:P204"/>
    <mergeCell ref="B195:P195"/>
    <mergeCell ref="B196:B197"/>
    <mergeCell ref="C196:C197"/>
    <mergeCell ref="D196:D197"/>
    <mergeCell ref="E196:E197"/>
    <mergeCell ref="F196:F197"/>
    <mergeCell ref="G196:G197"/>
    <mergeCell ref="H196:H197"/>
    <mergeCell ref="I196:I197"/>
    <mergeCell ref="J196:J197"/>
    <mergeCell ref="N205:N206"/>
    <mergeCell ref="O205:P205"/>
    <mergeCell ref="B223:P223"/>
    <mergeCell ref="B224:B225"/>
    <mergeCell ref="C224:C225"/>
    <mergeCell ref="D224:D225"/>
    <mergeCell ref="E224:E225"/>
    <mergeCell ref="F224:F225"/>
    <mergeCell ref="G224:G225"/>
    <mergeCell ref="H224:H225"/>
    <mergeCell ref="H205:H206"/>
    <mergeCell ref="I205:I206"/>
    <mergeCell ref="J205:J206"/>
    <mergeCell ref="K205:K206"/>
    <mergeCell ref="L205:L206"/>
    <mergeCell ref="M205:M206"/>
    <mergeCell ref="B205:B206"/>
    <mergeCell ref="C205:C206"/>
    <mergeCell ref="D205:D206"/>
    <mergeCell ref="E205:E206"/>
    <mergeCell ref="F205:F206"/>
    <mergeCell ref="G205:G206"/>
    <mergeCell ref="J234:J235"/>
    <mergeCell ref="K234:K235"/>
    <mergeCell ref="L234:L235"/>
    <mergeCell ref="M234:M235"/>
    <mergeCell ref="N234:N235"/>
    <mergeCell ref="O234:P234"/>
    <mergeCell ref="O224:P224"/>
    <mergeCell ref="B233:P233"/>
    <mergeCell ref="B234:B235"/>
    <mergeCell ref="C234:C235"/>
    <mergeCell ref="D234:D235"/>
    <mergeCell ref="E234:E235"/>
    <mergeCell ref="F234:F235"/>
    <mergeCell ref="G234:G235"/>
    <mergeCell ref="H234:H235"/>
    <mergeCell ref="I234:I235"/>
    <mergeCell ref="I224:I225"/>
    <mergeCell ref="J224:J225"/>
    <mergeCell ref="K224:K225"/>
    <mergeCell ref="L224:L225"/>
    <mergeCell ref="M224:M225"/>
    <mergeCell ref="N224:N225"/>
    <mergeCell ref="K243:K244"/>
    <mergeCell ref="L243:L244"/>
    <mergeCell ref="M243:M244"/>
    <mergeCell ref="N243:N244"/>
    <mergeCell ref="O243:P243"/>
    <mergeCell ref="S243:S244"/>
    <mergeCell ref="B242:P242"/>
    <mergeCell ref="B243:B244"/>
    <mergeCell ref="C243:C244"/>
    <mergeCell ref="D243:D244"/>
    <mergeCell ref="E243:E244"/>
    <mergeCell ref="F243:F244"/>
    <mergeCell ref="G243:G244"/>
    <mergeCell ref="H243:H244"/>
    <mergeCell ref="I243:I244"/>
    <mergeCell ref="J243:J244"/>
    <mergeCell ref="Z243:Z244"/>
    <mergeCell ref="AA243:AA244"/>
    <mergeCell ref="AB243:AB244"/>
    <mergeCell ref="AC243:AC244"/>
    <mergeCell ref="AD243:AD244"/>
    <mergeCell ref="AE243:AE244"/>
    <mergeCell ref="T243:T244"/>
    <mergeCell ref="U243:U244"/>
    <mergeCell ref="V243:V244"/>
    <mergeCell ref="W243:W244"/>
    <mergeCell ref="X243:X244"/>
    <mergeCell ref="Y243:Y244"/>
    <mergeCell ref="B254:P254"/>
    <mergeCell ref="B255:B256"/>
    <mergeCell ref="C255:C256"/>
    <mergeCell ref="D255:D256"/>
    <mergeCell ref="E255:E256"/>
    <mergeCell ref="F255:F256"/>
    <mergeCell ref="G255:G256"/>
    <mergeCell ref="H255:H256"/>
    <mergeCell ref="I255:I256"/>
    <mergeCell ref="J255:J256"/>
    <mergeCell ref="V259:AA259"/>
    <mergeCell ref="AB260:AB261"/>
    <mergeCell ref="AC260:AC261"/>
    <mergeCell ref="AD260:AD261"/>
    <mergeCell ref="AE260:AE261"/>
    <mergeCell ref="K255:K256"/>
    <mergeCell ref="L255:L256"/>
    <mergeCell ref="M255:M256"/>
    <mergeCell ref="N255:N256"/>
    <mergeCell ref="O255:P255"/>
    <mergeCell ref="S259:T259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ACD710-339F-40C5-999C-4E5E16373D27}">
  <sheetPr codeName="Feuil14">
    <tabColor theme="5" tint="0.39997558519241921"/>
  </sheetPr>
  <dimension ref="B1:AE277"/>
  <sheetViews>
    <sheetView showGridLines="0" topLeftCell="O158" zoomScale="55" zoomScaleNormal="46" workbookViewId="0">
      <selection activeCell="X263" sqref="X263"/>
    </sheetView>
  </sheetViews>
  <sheetFormatPr baseColWidth="10" defaultColWidth="10.7109375" defaultRowHeight="15" x14ac:dyDescent="0.25"/>
  <cols>
    <col min="1" max="1" width="10.7109375" style="20"/>
    <col min="2" max="2" width="34.85546875" style="20" customWidth="1"/>
    <col min="3" max="3" width="13.7109375" style="20" customWidth="1"/>
    <col min="4" max="4" width="13.42578125" style="20" customWidth="1"/>
    <col min="5" max="5" width="15.5703125" style="20" customWidth="1"/>
    <col min="6" max="6" width="13.85546875" style="20" customWidth="1"/>
    <col min="7" max="7" width="13.140625" style="20" customWidth="1"/>
    <col min="8" max="8" width="12.85546875" style="20" customWidth="1"/>
    <col min="9" max="9" width="17.28515625" style="20" customWidth="1"/>
    <col min="10" max="11" width="13.7109375" style="20" customWidth="1"/>
    <col min="12" max="12" width="15.85546875" style="20" customWidth="1"/>
    <col min="13" max="13" width="13.28515625" style="20" customWidth="1"/>
    <col min="14" max="14" width="14.85546875" style="20" customWidth="1"/>
    <col min="15" max="15" width="29.5703125" style="20" bestFit="1" customWidth="1"/>
    <col min="16" max="16" width="14.85546875" style="20" customWidth="1"/>
    <col min="17" max="18" width="9.140625" style="20" bestFit="1" customWidth="1"/>
    <col min="19" max="19" width="36.42578125" style="20" customWidth="1"/>
    <col min="20" max="20" width="15.7109375" style="20" customWidth="1"/>
    <col min="21" max="21" width="11.42578125" style="20" customWidth="1"/>
    <col min="22" max="22" width="36.85546875" style="20" customWidth="1"/>
    <col min="23" max="23" width="9.140625" style="20" customWidth="1"/>
    <col min="24" max="24" width="11.85546875" style="20" bestFit="1" customWidth="1"/>
    <col min="25" max="25" width="19.5703125" style="20" customWidth="1"/>
    <col min="26" max="26" width="40.28515625" style="20" bestFit="1" customWidth="1"/>
    <col min="27" max="27" width="18.85546875" style="20" customWidth="1"/>
    <col min="28" max="29" width="10.7109375" style="20"/>
    <col min="30" max="30" width="24.7109375" style="20" customWidth="1"/>
    <col min="31" max="31" width="15.5703125" style="20" customWidth="1"/>
    <col min="32" max="32" width="10.7109375" style="20"/>
    <col min="33" max="33" width="20.42578125" style="20" customWidth="1"/>
    <col min="34" max="36" width="10.7109375" style="20"/>
    <col min="37" max="37" width="18.85546875" style="20" customWidth="1"/>
    <col min="38" max="38" width="23.5703125" style="20" customWidth="1"/>
    <col min="39" max="16384" width="10.7109375" style="20"/>
  </cols>
  <sheetData>
    <row r="1" spans="2:16" ht="28.5" x14ac:dyDescent="0.45">
      <c r="B1" s="212" t="s">
        <v>48</v>
      </c>
      <c r="C1" s="212"/>
      <c r="D1" s="212"/>
      <c r="E1" s="212"/>
      <c r="F1" s="212"/>
      <c r="G1" s="212"/>
      <c r="H1" s="212"/>
      <c r="I1" s="212"/>
      <c r="J1" s="212"/>
      <c r="K1" s="212"/>
      <c r="L1" s="212"/>
      <c r="M1" s="212"/>
      <c r="N1" s="212"/>
      <c r="O1" s="212"/>
      <c r="P1" s="212"/>
    </row>
    <row r="2" spans="2:16" x14ac:dyDescent="0.25">
      <c r="B2" s="288" t="s">
        <v>49</v>
      </c>
      <c r="C2" s="288"/>
      <c r="D2" s="288"/>
      <c r="E2" s="288"/>
      <c r="F2" s="288"/>
      <c r="G2" s="288"/>
      <c r="H2" s="288"/>
      <c r="I2" s="288"/>
      <c r="J2" s="288"/>
      <c r="K2" s="288"/>
      <c r="L2" s="288"/>
      <c r="M2" s="288"/>
      <c r="N2" s="288"/>
      <c r="O2" s="288"/>
      <c r="P2" s="288"/>
    </row>
    <row r="3" spans="2:16" ht="14.25" customHeight="1" x14ac:dyDescent="0.25">
      <c r="B3" s="213"/>
      <c r="C3" s="215" t="s">
        <v>50</v>
      </c>
      <c r="D3" s="215" t="s">
        <v>51</v>
      </c>
      <c r="E3" s="215" t="s">
        <v>52</v>
      </c>
      <c r="F3" s="215" t="s">
        <v>53</v>
      </c>
      <c r="G3" s="215" t="s">
        <v>54</v>
      </c>
      <c r="H3" s="215" t="s">
        <v>55</v>
      </c>
      <c r="I3" s="215" t="s">
        <v>56</v>
      </c>
      <c r="J3" s="215" t="s">
        <v>57</v>
      </c>
      <c r="K3" s="215" t="s">
        <v>58</v>
      </c>
      <c r="L3" s="215" t="s">
        <v>59</v>
      </c>
      <c r="M3" s="215" t="s">
        <v>60</v>
      </c>
      <c r="N3" s="215" t="s">
        <v>61</v>
      </c>
      <c r="O3" s="220" t="s">
        <v>62</v>
      </c>
      <c r="P3" s="221"/>
    </row>
    <row r="4" spans="2:16" ht="14.25" customHeight="1" x14ac:dyDescent="0.25">
      <c r="B4" s="214"/>
      <c r="C4" s="216"/>
      <c r="D4" s="216"/>
      <c r="E4" s="216"/>
      <c r="F4" s="216"/>
      <c r="G4" s="216"/>
      <c r="H4" s="216"/>
      <c r="I4" s="216"/>
      <c r="J4" s="216"/>
      <c r="K4" s="216"/>
      <c r="L4" s="216"/>
      <c r="M4" s="216"/>
      <c r="N4" s="216"/>
      <c r="O4" s="58" t="s">
        <v>64</v>
      </c>
      <c r="P4" s="58" t="s">
        <v>65</v>
      </c>
    </row>
    <row r="5" spans="2:16" x14ac:dyDescent="0.25">
      <c r="B5" s="35" t="s">
        <v>66</v>
      </c>
      <c r="C5" s="35">
        <f>'Bilan et CDR N'!$C$5*1.01/12</f>
        <v>5252</v>
      </c>
      <c r="D5" s="35">
        <f>'Bilan et CDR N'!$C$5*1.01/12</f>
        <v>5252</v>
      </c>
      <c r="E5" s="35">
        <f>'Bilan et CDR N'!$C$5*1.01/12</f>
        <v>5252</v>
      </c>
      <c r="F5" s="35">
        <f>'Bilan et CDR N'!$C$5*1.01/12</f>
        <v>5252</v>
      </c>
      <c r="G5" s="35">
        <f>'Bilan et CDR N'!$C$5*1.01/12</f>
        <v>5252</v>
      </c>
      <c r="H5" s="35">
        <f>'Bilan et CDR N'!$C$5*1.01/12</f>
        <v>5252</v>
      </c>
      <c r="I5" s="35">
        <f>'Bilan et CDR N'!$C$5*1.01/12</f>
        <v>5252</v>
      </c>
      <c r="J5" s="35">
        <f>'Bilan et CDR N'!$C$5*1.01/12</f>
        <v>5252</v>
      </c>
      <c r="K5" s="35">
        <f>'Bilan et CDR N'!$C$5*1.01/12</f>
        <v>5252</v>
      </c>
      <c r="L5" s="35">
        <f>'Bilan et CDR N'!$C$5*1.01/12</f>
        <v>5252</v>
      </c>
      <c r="M5" s="35">
        <f>'Bilan et CDR N'!$C$5*1.01/12</f>
        <v>5252</v>
      </c>
      <c r="N5" s="35">
        <f>'Bilan et CDR N'!$C$5*1.01/12</f>
        <v>5252</v>
      </c>
      <c r="O5" s="60" t="s">
        <v>1</v>
      </c>
      <c r="P5" s="61">
        <f>SUM(C5:N5)</f>
        <v>63024</v>
      </c>
    </row>
    <row r="6" spans="2:16" ht="14.25" customHeight="1" x14ac:dyDescent="0.25">
      <c r="B6" s="34" t="s">
        <v>68</v>
      </c>
      <c r="C6" s="34">
        <f t="shared" ref="C6:N6" si="0">C5*20%</f>
        <v>1050.4000000000001</v>
      </c>
      <c r="D6" s="34">
        <f t="shared" si="0"/>
        <v>1050.4000000000001</v>
      </c>
      <c r="E6" s="34">
        <f t="shared" si="0"/>
        <v>1050.4000000000001</v>
      </c>
      <c r="F6" s="34">
        <f t="shared" si="0"/>
        <v>1050.4000000000001</v>
      </c>
      <c r="G6" s="34">
        <f t="shared" si="0"/>
        <v>1050.4000000000001</v>
      </c>
      <c r="H6" s="34">
        <f t="shared" si="0"/>
        <v>1050.4000000000001</v>
      </c>
      <c r="I6" s="34">
        <f t="shared" si="0"/>
        <v>1050.4000000000001</v>
      </c>
      <c r="J6" s="34">
        <f t="shared" si="0"/>
        <v>1050.4000000000001</v>
      </c>
      <c r="K6" s="34">
        <f t="shared" si="0"/>
        <v>1050.4000000000001</v>
      </c>
      <c r="L6" s="34">
        <f t="shared" si="0"/>
        <v>1050.4000000000001</v>
      </c>
      <c r="M6" s="34">
        <f t="shared" si="0"/>
        <v>1050.4000000000001</v>
      </c>
      <c r="N6" s="34">
        <f t="shared" si="0"/>
        <v>1050.4000000000001</v>
      </c>
      <c r="O6" s="34"/>
      <c r="P6" s="34"/>
    </row>
    <row r="7" spans="2:16" ht="14.25" customHeight="1" x14ac:dyDescent="0.25">
      <c r="B7" s="34" t="s">
        <v>69</v>
      </c>
      <c r="C7" s="34">
        <f t="shared" ref="C7:N7" si="1">C5+C6</f>
        <v>6302.4</v>
      </c>
      <c r="D7" s="34">
        <f t="shared" si="1"/>
        <v>6302.4</v>
      </c>
      <c r="E7" s="34">
        <f t="shared" si="1"/>
        <v>6302.4</v>
      </c>
      <c r="F7" s="34">
        <f t="shared" si="1"/>
        <v>6302.4</v>
      </c>
      <c r="G7" s="34">
        <f t="shared" si="1"/>
        <v>6302.4</v>
      </c>
      <c r="H7" s="34">
        <f t="shared" si="1"/>
        <v>6302.4</v>
      </c>
      <c r="I7" s="34">
        <f t="shared" si="1"/>
        <v>6302.4</v>
      </c>
      <c r="J7" s="34">
        <f t="shared" si="1"/>
        <v>6302.4</v>
      </c>
      <c r="K7" s="34">
        <f t="shared" si="1"/>
        <v>6302.4</v>
      </c>
      <c r="L7" s="34">
        <f t="shared" si="1"/>
        <v>6302.4</v>
      </c>
      <c r="M7" s="34">
        <f t="shared" si="1"/>
        <v>6302.4</v>
      </c>
      <c r="N7" s="34">
        <f t="shared" si="1"/>
        <v>6302.4</v>
      </c>
      <c r="O7" s="34"/>
      <c r="P7" s="34"/>
    </row>
    <row r="8" spans="2:16" x14ac:dyDescent="0.25">
      <c r="B8" s="81" t="s">
        <v>139</v>
      </c>
      <c r="C8" s="81">
        <f>'Bilan et CDR N'!I14+C7/2</f>
        <v>81151.199999999997</v>
      </c>
      <c r="D8" s="81">
        <f t="shared" ref="D8:N8" si="2">C7/2+D7/2</f>
        <v>6302.4</v>
      </c>
      <c r="E8" s="81">
        <f t="shared" si="2"/>
        <v>6302.4</v>
      </c>
      <c r="F8" s="81">
        <f t="shared" si="2"/>
        <v>6302.4</v>
      </c>
      <c r="G8" s="81">
        <f t="shared" si="2"/>
        <v>6302.4</v>
      </c>
      <c r="H8" s="81">
        <f t="shared" si="2"/>
        <v>6302.4</v>
      </c>
      <c r="I8" s="81">
        <f t="shared" si="2"/>
        <v>6302.4</v>
      </c>
      <c r="J8" s="81">
        <f t="shared" si="2"/>
        <v>6302.4</v>
      </c>
      <c r="K8" s="81">
        <f t="shared" si="2"/>
        <v>6302.4</v>
      </c>
      <c r="L8" s="81">
        <f t="shared" si="2"/>
        <v>6302.4</v>
      </c>
      <c r="M8" s="81">
        <f t="shared" si="2"/>
        <v>6302.4</v>
      </c>
      <c r="N8" s="81">
        <f t="shared" si="2"/>
        <v>6302.4</v>
      </c>
      <c r="O8" s="82" t="s">
        <v>72</v>
      </c>
      <c r="P8" s="83">
        <f>N7/2</f>
        <v>3151.2</v>
      </c>
    </row>
    <row r="9" spans="2:16" x14ac:dyDescent="0.25">
      <c r="B9" s="34" t="s">
        <v>208</v>
      </c>
      <c r="C9" s="34"/>
      <c r="D9" s="34"/>
      <c r="E9" s="34">
        <v>30000</v>
      </c>
      <c r="F9" s="34"/>
      <c r="G9" s="34"/>
      <c r="H9" s="34"/>
      <c r="I9" s="34"/>
      <c r="J9" s="34"/>
      <c r="K9" s="34"/>
      <c r="L9" s="34"/>
      <c r="M9" s="34"/>
      <c r="N9" s="34"/>
      <c r="O9" s="61" t="s">
        <v>209</v>
      </c>
      <c r="P9" s="61">
        <v>30000</v>
      </c>
    </row>
    <row r="11" spans="2:16" ht="14.25" customHeight="1" x14ac:dyDescent="0.25">
      <c r="B11" s="288" t="s">
        <v>74</v>
      </c>
      <c r="C11" s="288"/>
      <c r="D11" s="288"/>
      <c r="E11" s="288"/>
      <c r="F11" s="288"/>
      <c r="G11" s="288"/>
      <c r="H11" s="288"/>
      <c r="I11" s="288"/>
      <c r="J11" s="288"/>
      <c r="K11" s="288"/>
      <c r="L11" s="288"/>
      <c r="M11" s="288"/>
      <c r="N11" s="288"/>
      <c r="O11" s="288"/>
      <c r="P11" s="288"/>
    </row>
    <row r="12" spans="2:16" x14ac:dyDescent="0.25">
      <c r="B12" s="213"/>
      <c r="C12" s="215" t="s">
        <v>50</v>
      </c>
      <c r="D12" s="215" t="s">
        <v>51</v>
      </c>
      <c r="E12" s="215" t="s">
        <v>52</v>
      </c>
      <c r="F12" s="215" t="s">
        <v>53</v>
      </c>
      <c r="G12" s="215" t="s">
        <v>54</v>
      </c>
      <c r="H12" s="215" t="s">
        <v>55</v>
      </c>
      <c r="I12" s="215" t="s">
        <v>56</v>
      </c>
      <c r="J12" s="215" t="s">
        <v>57</v>
      </c>
      <c r="K12" s="215" t="s">
        <v>58</v>
      </c>
      <c r="L12" s="215" t="s">
        <v>59</v>
      </c>
      <c r="M12" s="215" t="s">
        <v>60</v>
      </c>
      <c r="N12" s="215" t="s">
        <v>61</v>
      </c>
      <c r="O12" s="220" t="s">
        <v>62</v>
      </c>
      <c r="P12" s="221"/>
    </row>
    <row r="13" spans="2:16" ht="14.25" customHeight="1" x14ac:dyDescent="0.25">
      <c r="B13" s="214"/>
      <c r="C13" s="216"/>
      <c r="D13" s="216"/>
      <c r="E13" s="216"/>
      <c r="F13" s="216"/>
      <c r="G13" s="216"/>
      <c r="H13" s="216"/>
      <c r="I13" s="216"/>
      <c r="J13" s="216"/>
      <c r="K13" s="216"/>
      <c r="L13" s="216"/>
      <c r="M13" s="216"/>
      <c r="N13" s="216"/>
      <c r="O13" s="58" t="s">
        <v>64</v>
      </c>
      <c r="P13" s="58" t="s">
        <v>65</v>
      </c>
    </row>
    <row r="14" spans="2:16" x14ac:dyDescent="0.25">
      <c r="B14" s="35" t="s">
        <v>77</v>
      </c>
      <c r="C14" s="35">
        <f t="shared" ref="C14:N14" si="3">C5*30%</f>
        <v>1575.6</v>
      </c>
      <c r="D14" s="35">
        <f t="shared" si="3"/>
        <v>1575.6</v>
      </c>
      <c r="E14" s="35">
        <f t="shared" si="3"/>
        <v>1575.6</v>
      </c>
      <c r="F14" s="35">
        <f t="shared" si="3"/>
        <v>1575.6</v>
      </c>
      <c r="G14" s="35">
        <f t="shared" si="3"/>
        <v>1575.6</v>
      </c>
      <c r="H14" s="35">
        <f t="shared" si="3"/>
        <v>1575.6</v>
      </c>
      <c r="I14" s="35">
        <f t="shared" si="3"/>
        <v>1575.6</v>
      </c>
      <c r="J14" s="35">
        <f t="shared" si="3"/>
        <v>1575.6</v>
      </c>
      <c r="K14" s="35">
        <f t="shared" si="3"/>
        <v>1575.6</v>
      </c>
      <c r="L14" s="35">
        <f t="shared" si="3"/>
        <v>1575.6</v>
      </c>
      <c r="M14" s="35">
        <f t="shared" si="3"/>
        <v>1575.6</v>
      </c>
      <c r="N14" s="35">
        <f t="shared" si="3"/>
        <v>1575.6</v>
      </c>
      <c r="O14" s="60" t="s">
        <v>78</v>
      </c>
      <c r="P14" s="61">
        <f>SUM(C14:N14)</f>
        <v>18907.2</v>
      </c>
    </row>
    <row r="15" spans="2:16" ht="14.25" customHeight="1" x14ac:dyDescent="0.25">
      <c r="B15" s="34" t="s">
        <v>79</v>
      </c>
      <c r="C15" s="34">
        <f t="shared" ref="C15:N15" si="4">C14*20%</f>
        <v>315.12</v>
      </c>
      <c r="D15" s="34">
        <f t="shared" si="4"/>
        <v>315.12</v>
      </c>
      <c r="E15" s="34">
        <f t="shared" si="4"/>
        <v>315.12</v>
      </c>
      <c r="F15" s="34">
        <f t="shared" si="4"/>
        <v>315.12</v>
      </c>
      <c r="G15" s="34">
        <f t="shared" si="4"/>
        <v>315.12</v>
      </c>
      <c r="H15" s="34">
        <f t="shared" si="4"/>
        <v>315.12</v>
      </c>
      <c r="I15" s="34">
        <f t="shared" si="4"/>
        <v>315.12</v>
      </c>
      <c r="J15" s="34">
        <f t="shared" si="4"/>
        <v>315.12</v>
      </c>
      <c r="K15" s="34">
        <f t="shared" si="4"/>
        <v>315.12</v>
      </c>
      <c r="L15" s="34">
        <f t="shared" si="4"/>
        <v>315.12</v>
      </c>
      <c r="M15" s="34">
        <f t="shared" si="4"/>
        <v>315.12</v>
      </c>
      <c r="N15" s="34">
        <f t="shared" si="4"/>
        <v>315.12</v>
      </c>
      <c r="O15" s="34"/>
      <c r="P15" s="34"/>
    </row>
    <row r="16" spans="2:16" x14ac:dyDescent="0.25">
      <c r="B16" s="34" t="s">
        <v>80</v>
      </c>
      <c r="C16" s="34">
        <f t="shared" ref="C16:N16" si="5">C14+C15</f>
        <v>1890.7199999999998</v>
      </c>
      <c r="D16" s="34">
        <f t="shared" si="5"/>
        <v>1890.7199999999998</v>
      </c>
      <c r="E16" s="34">
        <f t="shared" si="5"/>
        <v>1890.7199999999998</v>
      </c>
      <c r="F16" s="34">
        <f t="shared" si="5"/>
        <v>1890.7199999999998</v>
      </c>
      <c r="G16" s="34">
        <f t="shared" si="5"/>
        <v>1890.7199999999998</v>
      </c>
      <c r="H16" s="34">
        <f t="shared" si="5"/>
        <v>1890.7199999999998</v>
      </c>
      <c r="I16" s="34">
        <f t="shared" si="5"/>
        <v>1890.7199999999998</v>
      </c>
      <c r="J16" s="34">
        <f t="shared" si="5"/>
        <v>1890.7199999999998</v>
      </c>
      <c r="K16" s="34">
        <f t="shared" si="5"/>
        <v>1890.7199999999998</v>
      </c>
      <c r="L16" s="34">
        <f t="shared" si="5"/>
        <v>1890.7199999999998</v>
      </c>
      <c r="M16" s="34">
        <f t="shared" si="5"/>
        <v>1890.7199999999998</v>
      </c>
      <c r="N16" s="34">
        <f t="shared" si="5"/>
        <v>1890.7199999999998</v>
      </c>
      <c r="O16" s="34"/>
      <c r="P16" s="34"/>
    </row>
    <row r="17" spans="2:16" x14ac:dyDescent="0.25">
      <c r="B17" s="59" t="s">
        <v>81</v>
      </c>
      <c r="C17" s="59">
        <f>C16+'Bilan et CDR N'!K14</f>
        <v>25390.720000000001</v>
      </c>
      <c r="D17" s="59">
        <f t="shared" ref="D17:N17" si="6">D16</f>
        <v>1890.7199999999998</v>
      </c>
      <c r="E17" s="59">
        <f t="shared" si="6"/>
        <v>1890.7199999999998</v>
      </c>
      <c r="F17" s="59">
        <f t="shared" si="6"/>
        <v>1890.7199999999998</v>
      </c>
      <c r="G17" s="59">
        <f t="shared" si="6"/>
        <v>1890.7199999999998</v>
      </c>
      <c r="H17" s="59">
        <f t="shared" si="6"/>
        <v>1890.7199999999998</v>
      </c>
      <c r="I17" s="59">
        <f t="shared" si="6"/>
        <v>1890.7199999999998</v>
      </c>
      <c r="J17" s="59">
        <f t="shared" si="6"/>
        <v>1890.7199999999998</v>
      </c>
      <c r="K17" s="59">
        <f t="shared" si="6"/>
        <v>1890.7199999999998</v>
      </c>
      <c r="L17" s="59">
        <f t="shared" si="6"/>
        <v>1890.7199999999998</v>
      </c>
      <c r="M17" s="59">
        <f t="shared" si="6"/>
        <v>1890.7199999999998</v>
      </c>
      <c r="N17" s="59">
        <f t="shared" si="6"/>
        <v>1890.7199999999998</v>
      </c>
      <c r="O17" s="60" t="s">
        <v>82</v>
      </c>
      <c r="P17" s="61">
        <v>0</v>
      </c>
    </row>
    <row r="20" spans="2:16" x14ac:dyDescent="0.25">
      <c r="B20" s="288" t="s">
        <v>83</v>
      </c>
      <c r="C20" s="288"/>
      <c r="D20" s="288"/>
      <c r="E20" s="288"/>
      <c r="F20" s="288"/>
      <c r="G20" s="288"/>
      <c r="H20" s="288"/>
      <c r="I20" s="288"/>
      <c r="J20" s="288"/>
      <c r="K20" s="288"/>
      <c r="L20" s="288"/>
      <c r="M20" s="288"/>
      <c r="N20" s="288"/>
      <c r="O20" s="288"/>
      <c r="P20" s="288"/>
    </row>
    <row r="21" spans="2:16" x14ac:dyDescent="0.25">
      <c r="B21" s="213"/>
      <c r="C21" s="215" t="s">
        <v>50</v>
      </c>
      <c r="D21" s="215" t="s">
        <v>51</v>
      </c>
      <c r="E21" s="215" t="s">
        <v>52</v>
      </c>
      <c r="F21" s="215" t="s">
        <v>53</v>
      </c>
      <c r="G21" s="215" t="s">
        <v>54</v>
      </c>
      <c r="H21" s="215" t="s">
        <v>55</v>
      </c>
      <c r="I21" s="215" t="s">
        <v>56</v>
      </c>
      <c r="J21" s="215" t="s">
        <v>57</v>
      </c>
      <c r="K21" s="215" t="s">
        <v>58</v>
      </c>
      <c r="L21" s="215" t="s">
        <v>59</v>
      </c>
      <c r="M21" s="215" t="s">
        <v>60</v>
      </c>
      <c r="N21" s="215" t="s">
        <v>61</v>
      </c>
      <c r="O21" s="220" t="s">
        <v>62</v>
      </c>
      <c r="P21" s="221"/>
    </row>
    <row r="22" spans="2:16" x14ac:dyDescent="0.25">
      <c r="B22" s="214"/>
      <c r="C22" s="216"/>
      <c r="D22" s="216"/>
      <c r="E22" s="216"/>
      <c r="F22" s="216"/>
      <c r="G22" s="216"/>
      <c r="H22" s="216"/>
      <c r="I22" s="216"/>
      <c r="J22" s="216"/>
      <c r="K22" s="216"/>
      <c r="L22" s="216"/>
      <c r="M22" s="216"/>
      <c r="N22" s="216"/>
      <c r="O22" s="58" t="s">
        <v>64</v>
      </c>
      <c r="P22" s="58" t="s">
        <v>65</v>
      </c>
    </row>
    <row r="23" spans="2:16" x14ac:dyDescent="0.25">
      <c r="B23" s="35" t="s">
        <v>84</v>
      </c>
      <c r="C23" s="35">
        <v>7100</v>
      </c>
      <c r="D23" s="35">
        <v>7100</v>
      </c>
      <c r="E23" s="35">
        <v>7100</v>
      </c>
      <c r="F23" s="35">
        <v>7100</v>
      </c>
      <c r="G23" s="35">
        <v>7100</v>
      </c>
      <c r="H23" s="35">
        <v>7100</v>
      </c>
      <c r="I23" s="35">
        <v>7100</v>
      </c>
      <c r="J23" s="35">
        <v>7100</v>
      </c>
      <c r="K23" s="35">
        <v>7100</v>
      </c>
      <c r="L23" s="35">
        <v>7100</v>
      </c>
      <c r="M23" s="35">
        <v>7100</v>
      </c>
      <c r="N23" s="35">
        <v>7100</v>
      </c>
      <c r="O23" s="60" t="s">
        <v>85</v>
      </c>
      <c r="P23" s="61">
        <f>SUM(C23:N23)</f>
        <v>85200</v>
      </c>
    </row>
    <row r="24" spans="2:16" x14ac:dyDescent="0.25">
      <c r="B24" s="34" t="s">
        <v>86</v>
      </c>
      <c r="C24" s="34">
        <f t="shared" ref="C24:N24" si="7">C23*20%</f>
        <v>1420</v>
      </c>
      <c r="D24" s="34">
        <f t="shared" si="7"/>
        <v>1420</v>
      </c>
      <c r="E24" s="34">
        <f t="shared" si="7"/>
        <v>1420</v>
      </c>
      <c r="F24" s="34">
        <f t="shared" si="7"/>
        <v>1420</v>
      </c>
      <c r="G24" s="34">
        <f t="shared" si="7"/>
        <v>1420</v>
      </c>
      <c r="H24" s="34">
        <f t="shared" si="7"/>
        <v>1420</v>
      </c>
      <c r="I24" s="34">
        <f t="shared" si="7"/>
        <v>1420</v>
      </c>
      <c r="J24" s="34">
        <f t="shared" si="7"/>
        <v>1420</v>
      </c>
      <c r="K24" s="34">
        <f t="shared" si="7"/>
        <v>1420</v>
      </c>
      <c r="L24" s="34">
        <f t="shared" si="7"/>
        <v>1420</v>
      </c>
      <c r="M24" s="34">
        <f t="shared" si="7"/>
        <v>1420</v>
      </c>
      <c r="N24" s="34">
        <f t="shared" si="7"/>
        <v>1420</v>
      </c>
      <c r="O24" s="34"/>
      <c r="P24" s="34"/>
    </row>
    <row r="25" spans="2:16" x14ac:dyDescent="0.25">
      <c r="B25" s="142" t="s">
        <v>223</v>
      </c>
      <c r="C25" s="34">
        <f>$P$25/12</f>
        <v>308.03571428571428</v>
      </c>
      <c r="D25" s="34">
        <f t="shared" ref="D25:N25" si="8">$P$25/12</f>
        <v>308.03571428571428</v>
      </c>
      <c r="E25" s="34">
        <f t="shared" si="8"/>
        <v>308.03571428571428</v>
      </c>
      <c r="F25" s="34">
        <f t="shared" si="8"/>
        <v>308.03571428571428</v>
      </c>
      <c r="G25" s="34">
        <f t="shared" si="8"/>
        <v>308.03571428571428</v>
      </c>
      <c r="H25" s="34">
        <f t="shared" si="8"/>
        <v>308.03571428571428</v>
      </c>
      <c r="I25" s="34">
        <f t="shared" si="8"/>
        <v>308.03571428571428</v>
      </c>
      <c r="J25" s="34">
        <f t="shared" si="8"/>
        <v>308.03571428571428</v>
      </c>
      <c r="K25" s="34">
        <f t="shared" si="8"/>
        <v>308.03571428571428</v>
      </c>
      <c r="L25" s="34">
        <f t="shared" si="8"/>
        <v>308.03571428571428</v>
      </c>
      <c r="M25" s="34">
        <f t="shared" si="8"/>
        <v>308.03571428571428</v>
      </c>
      <c r="N25" s="34">
        <f t="shared" si="8"/>
        <v>308.03571428571428</v>
      </c>
      <c r="O25" s="61" t="s">
        <v>224</v>
      </c>
      <c r="P25" s="61">
        <f>Emprunt!S4</f>
        <v>3696.4285714285711</v>
      </c>
    </row>
    <row r="26" spans="2:16" x14ac:dyDescent="0.25">
      <c r="B26" s="34" t="s">
        <v>225</v>
      </c>
      <c r="C26" s="34">
        <f>C25*0.2</f>
        <v>61.607142857142861</v>
      </c>
      <c r="D26" s="34">
        <f t="shared" ref="D26:N26" si="9">D25*0.2</f>
        <v>61.607142857142861</v>
      </c>
      <c r="E26" s="34">
        <f t="shared" si="9"/>
        <v>61.607142857142861</v>
      </c>
      <c r="F26" s="34">
        <f t="shared" si="9"/>
        <v>61.607142857142861</v>
      </c>
      <c r="G26" s="34">
        <f t="shared" si="9"/>
        <v>61.607142857142861</v>
      </c>
      <c r="H26" s="34">
        <f t="shared" si="9"/>
        <v>61.607142857142861</v>
      </c>
      <c r="I26" s="34">
        <f t="shared" si="9"/>
        <v>61.607142857142861</v>
      </c>
      <c r="J26" s="34">
        <f t="shared" si="9"/>
        <v>61.607142857142861</v>
      </c>
      <c r="K26" s="34">
        <f t="shared" si="9"/>
        <v>61.607142857142861</v>
      </c>
      <c r="L26" s="34">
        <f t="shared" si="9"/>
        <v>61.607142857142861</v>
      </c>
      <c r="M26" s="34">
        <f t="shared" si="9"/>
        <v>61.607142857142861</v>
      </c>
      <c r="N26" s="34">
        <f t="shared" si="9"/>
        <v>61.607142857142861</v>
      </c>
      <c r="O26" s="35"/>
      <c r="P26" s="34"/>
    </row>
    <row r="27" spans="2:16" x14ac:dyDescent="0.25">
      <c r="B27" s="34" t="s">
        <v>87</v>
      </c>
      <c r="C27" s="34">
        <f>SUM(C23:C26)</f>
        <v>8889.6428571428569</v>
      </c>
      <c r="D27" s="34">
        <f t="shared" ref="D27:N27" si="10">SUM(D23:D26)</f>
        <v>8889.6428571428569</v>
      </c>
      <c r="E27" s="34">
        <f t="shared" si="10"/>
        <v>8889.6428571428569</v>
      </c>
      <c r="F27" s="34">
        <f t="shared" si="10"/>
        <v>8889.6428571428569</v>
      </c>
      <c r="G27" s="34">
        <f t="shared" si="10"/>
        <v>8889.6428571428569</v>
      </c>
      <c r="H27" s="34">
        <f t="shared" si="10"/>
        <v>8889.6428571428569</v>
      </c>
      <c r="I27" s="34">
        <f t="shared" si="10"/>
        <v>8889.6428571428569</v>
      </c>
      <c r="J27" s="34">
        <f t="shared" si="10"/>
        <v>8889.6428571428569</v>
      </c>
      <c r="K27" s="34">
        <f t="shared" si="10"/>
        <v>8889.6428571428569</v>
      </c>
      <c r="L27" s="34">
        <f t="shared" si="10"/>
        <v>8889.6428571428569</v>
      </c>
      <c r="M27" s="34">
        <f t="shared" si="10"/>
        <v>8889.6428571428569</v>
      </c>
      <c r="N27" s="34">
        <f t="shared" si="10"/>
        <v>8889.6428571428569</v>
      </c>
      <c r="O27" s="34"/>
      <c r="P27" s="34"/>
    </row>
    <row r="28" spans="2:16" x14ac:dyDescent="0.25">
      <c r="B28" s="59" t="s">
        <v>81</v>
      </c>
      <c r="C28" s="59">
        <f>C27</f>
        <v>8889.6428571428569</v>
      </c>
      <c r="D28" s="59">
        <f t="shared" ref="D28:N28" si="11">D27</f>
        <v>8889.6428571428569</v>
      </c>
      <c r="E28" s="59">
        <f t="shared" si="11"/>
        <v>8889.6428571428569</v>
      </c>
      <c r="F28" s="59">
        <f t="shared" si="11"/>
        <v>8889.6428571428569</v>
      </c>
      <c r="G28" s="59">
        <f t="shared" si="11"/>
        <v>8889.6428571428569</v>
      </c>
      <c r="H28" s="59">
        <f t="shared" si="11"/>
        <v>8889.6428571428569</v>
      </c>
      <c r="I28" s="59">
        <f t="shared" si="11"/>
        <v>8889.6428571428569</v>
      </c>
      <c r="J28" s="59">
        <f t="shared" si="11"/>
        <v>8889.6428571428569</v>
      </c>
      <c r="K28" s="59">
        <f t="shared" si="11"/>
        <v>8889.6428571428569</v>
      </c>
      <c r="L28" s="59">
        <f t="shared" si="11"/>
        <v>8889.6428571428569</v>
      </c>
      <c r="M28" s="59">
        <f t="shared" si="11"/>
        <v>8889.6428571428569</v>
      </c>
      <c r="N28" s="59">
        <f t="shared" si="11"/>
        <v>8889.6428571428569</v>
      </c>
      <c r="O28" s="34"/>
      <c r="P28" s="34"/>
    </row>
    <row r="29" spans="2:16" x14ac:dyDescent="0.25">
      <c r="B29" s="34" t="s">
        <v>89</v>
      </c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>
        <v>7500</v>
      </c>
      <c r="O29" s="34"/>
      <c r="P29" s="34"/>
    </row>
    <row r="30" spans="2:16" x14ac:dyDescent="0.25">
      <c r="B30" s="34" t="s">
        <v>92</v>
      </c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</row>
    <row r="31" spans="2:16" x14ac:dyDescent="0.25">
      <c r="B31" s="59" t="s">
        <v>94</v>
      </c>
      <c r="C31" s="59">
        <f t="shared" ref="C31:N31" si="12">C29+C30</f>
        <v>0</v>
      </c>
      <c r="D31" s="59">
        <f t="shared" si="12"/>
        <v>0</v>
      </c>
      <c r="E31" s="59">
        <f t="shared" si="12"/>
        <v>0</v>
      </c>
      <c r="F31" s="59">
        <f t="shared" si="12"/>
        <v>0</v>
      </c>
      <c r="G31" s="59">
        <f t="shared" si="12"/>
        <v>0</v>
      </c>
      <c r="H31" s="59">
        <f t="shared" si="12"/>
        <v>0</v>
      </c>
      <c r="I31" s="59">
        <f t="shared" si="12"/>
        <v>0</v>
      </c>
      <c r="J31" s="59">
        <f t="shared" si="12"/>
        <v>0</v>
      </c>
      <c r="K31" s="59">
        <f t="shared" si="12"/>
        <v>0</v>
      </c>
      <c r="L31" s="59">
        <f t="shared" si="12"/>
        <v>0</v>
      </c>
      <c r="M31" s="59">
        <f t="shared" si="12"/>
        <v>0</v>
      </c>
      <c r="N31" s="59">
        <f t="shared" si="12"/>
        <v>7500</v>
      </c>
      <c r="O31" s="60" t="s">
        <v>93</v>
      </c>
      <c r="P31" s="61">
        <f>SUM(C31:N31)</f>
        <v>7500</v>
      </c>
    </row>
    <row r="32" spans="2:16" x14ac:dyDescent="0.25">
      <c r="B32" s="34" t="s">
        <v>95</v>
      </c>
      <c r="C32" s="34">
        <f t="shared" ref="C32:N32" si="13">307500/12</f>
        <v>25625</v>
      </c>
      <c r="D32" s="34">
        <f t="shared" si="13"/>
        <v>25625</v>
      </c>
      <c r="E32" s="34">
        <f t="shared" si="13"/>
        <v>25625</v>
      </c>
      <c r="F32" s="34">
        <f t="shared" si="13"/>
        <v>25625</v>
      </c>
      <c r="G32" s="34">
        <f t="shared" si="13"/>
        <v>25625</v>
      </c>
      <c r="H32" s="34">
        <f t="shared" si="13"/>
        <v>25625</v>
      </c>
      <c r="I32" s="34">
        <f t="shared" si="13"/>
        <v>25625</v>
      </c>
      <c r="J32" s="34">
        <f t="shared" si="13"/>
        <v>25625</v>
      </c>
      <c r="K32" s="34">
        <f t="shared" si="13"/>
        <v>25625</v>
      </c>
      <c r="L32" s="34">
        <f t="shared" si="13"/>
        <v>25625</v>
      </c>
      <c r="M32" s="34">
        <f t="shared" si="13"/>
        <v>25625</v>
      </c>
      <c r="N32" s="34">
        <f t="shared" si="13"/>
        <v>25625</v>
      </c>
      <c r="O32" s="37"/>
      <c r="P32" s="37"/>
    </row>
    <row r="33" spans="2:31" x14ac:dyDescent="0.25">
      <c r="B33" s="59" t="s">
        <v>96</v>
      </c>
      <c r="C33" s="59">
        <f t="shared" ref="C33:N33" si="14">C32</f>
        <v>25625</v>
      </c>
      <c r="D33" s="59">
        <f t="shared" si="14"/>
        <v>25625</v>
      </c>
      <c r="E33" s="59">
        <f t="shared" si="14"/>
        <v>25625</v>
      </c>
      <c r="F33" s="59">
        <f t="shared" si="14"/>
        <v>25625</v>
      </c>
      <c r="G33" s="59">
        <f t="shared" si="14"/>
        <v>25625</v>
      </c>
      <c r="H33" s="59">
        <f t="shared" si="14"/>
        <v>25625</v>
      </c>
      <c r="I33" s="59">
        <f t="shared" si="14"/>
        <v>25625</v>
      </c>
      <c r="J33" s="59">
        <f t="shared" si="14"/>
        <v>25625</v>
      </c>
      <c r="K33" s="59">
        <f t="shared" si="14"/>
        <v>25625</v>
      </c>
      <c r="L33" s="59">
        <f t="shared" si="14"/>
        <v>25625</v>
      </c>
      <c r="M33" s="59">
        <f t="shared" si="14"/>
        <v>25625</v>
      </c>
      <c r="N33" s="59">
        <f t="shared" si="14"/>
        <v>25625</v>
      </c>
      <c r="O33" s="60" t="s">
        <v>97</v>
      </c>
      <c r="P33" s="61">
        <f>SUM(C33:N33)</f>
        <v>307500</v>
      </c>
    </row>
    <row r="34" spans="2:31" x14ac:dyDescent="0.25">
      <c r="B34" s="34" t="s">
        <v>21</v>
      </c>
      <c r="C34" s="34">
        <f t="shared" ref="C34:N34" si="15">C32*0.4</f>
        <v>10250</v>
      </c>
      <c r="D34" s="34">
        <f t="shared" si="15"/>
        <v>10250</v>
      </c>
      <c r="E34" s="34">
        <f t="shared" si="15"/>
        <v>10250</v>
      </c>
      <c r="F34" s="34">
        <f t="shared" si="15"/>
        <v>10250</v>
      </c>
      <c r="G34" s="34">
        <f t="shared" si="15"/>
        <v>10250</v>
      </c>
      <c r="H34" s="34">
        <f t="shared" si="15"/>
        <v>10250</v>
      </c>
      <c r="I34" s="34">
        <f t="shared" si="15"/>
        <v>10250</v>
      </c>
      <c r="J34" s="34">
        <f t="shared" si="15"/>
        <v>10250</v>
      </c>
      <c r="K34" s="34">
        <f t="shared" si="15"/>
        <v>10250</v>
      </c>
      <c r="L34" s="34">
        <f t="shared" si="15"/>
        <v>10250</v>
      </c>
      <c r="M34" s="34">
        <f t="shared" si="15"/>
        <v>10250</v>
      </c>
      <c r="N34" s="34">
        <f t="shared" si="15"/>
        <v>10250</v>
      </c>
      <c r="O34" s="60" t="s">
        <v>98</v>
      </c>
      <c r="P34" s="61">
        <f>SUM(C34:N34)</f>
        <v>123000</v>
      </c>
    </row>
    <row r="35" spans="2:31" x14ac:dyDescent="0.25">
      <c r="B35" s="59" t="s">
        <v>99</v>
      </c>
      <c r="C35" s="59">
        <v>16000</v>
      </c>
      <c r="D35" s="59">
        <f t="shared" ref="D35:N35" si="16">C34</f>
        <v>10250</v>
      </c>
      <c r="E35" s="59">
        <f t="shared" si="16"/>
        <v>10250</v>
      </c>
      <c r="F35" s="59">
        <f t="shared" si="16"/>
        <v>10250</v>
      </c>
      <c r="G35" s="59">
        <f t="shared" si="16"/>
        <v>10250</v>
      </c>
      <c r="H35" s="59">
        <f t="shared" si="16"/>
        <v>10250</v>
      </c>
      <c r="I35" s="59">
        <f t="shared" si="16"/>
        <v>10250</v>
      </c>
      <c r="J35" s="59">
        <f t="shared" si="16"/>
        <v>10250</v>
      </c>
      <c r="K35" s="59">
        <f t="shared" si="16"/>
        <v>10250</v>
      </c>
      <c r="L35" s="59">
        <f t="shared" si="16"/>
        <v>10250</v>
      </c>
      <c r="M35" s="59">
        <f t="shared" si="16"/>
        <v>10250</v>
      </c>
      <c r="N35" s="59">
        <f t="shared" si="16"/>
        <v>10250</v>
      </c>
      <c r="O35" s="60" t="s">
        <v>100</v>
      </c>
      <c r="P35" s="61">
        <f>N34</f>
        <v>10250</v>
      </c>
    </row>
    <row r="38" spans="2:31" x14ac:dyDescent="0.25">
      <c r="B38" s="288" t="s">
        <v>101</v>
      </c>
      <c r="C38" s="288"/>
      <c r="D38" s="288"/>
      <c r="E38" s="288"/>
      <c r="F38" s="288"/>
      <c r="G38" s="288"/>
      <c r="H38" s="288"/>
      <c r="I38" s="288"/>
      <c r="J38" s="288"/>
      <c r="K38" s="288"/>
      <c r="L38" s="288"/>
      <c r="M38" s="288"/>
      <c r="N38" s="288"/>
      <c r="O38" s="288"/>
      <c r="P38" s="288"/>
    </row>
    <row r="39" spans="2:31" x14ac:dyDescent="0.25">
      <c r="B39" s="213"/>
      <c r="C39" s="215" t="s">
        <v>50</v>
      </c>
      <c r="D39" s="215" t="s">
        <v>51</v>
      </c>
      <c r="E39" s="215" t="s">
        <v>52</v>
      </c>
      <c r="F39" s="215" t="s">
        <v>53</v>
      </c>
      <c r="G39" s="215" t="s">
        <v>54</v>
      </c>
      <c r="H39" s="215" t="s">
        <v>55</v>
      </c>
      <c r="I39" s="215" t="s">
        <v>56</v>
      </c>
      <c r="J39" s="215" t="s">
        <v>57</v>
      </c>
      <c r="K39" s="215" t="s">
        <v>58</v>
      </c>
      <c r="L39" s="215" t="s">
        <v>59</v>
      </c>
      <c r="M39" s="215" t="s">
        <v>60</v>
      </c>
      <c r="N39" s="215" t="s">
        <v>61</v>
      </c>
      <c r="O39" s="220" t="s">
        <v>62</v>
      </c>
      <c r="P39" s="221"/>
    </row>
    <row r="40" spans="2:31" x14ac:dyDescent="0.25">
      <c r="B40" s="214"/>
      <c r="C40" s="216"/>
      <c r="D40" s="216"/>
      <c r="E40" s="216"/>
      <c r="F40" s="216"/>
      <c r="G40" s="216"/>
      <c r="H40" s="216"/>
      <c r="I40" s="216"/>
      <c r="J40" s="216"/>
      <c r="K40" s="216"/>
      <c r="L40" s="216"/>
      <c r="M40" s="216"/>
      <c r="N40" s="216"/>
      <c r="O40" s="58" t="s">
        <v>64</v>
      </c>
      <c r="P40" s="58" t="s">
        <v>65</v>
      </c>
    </row>
    <row r="41" spans="2:31" x14ac:dyDescent="0.25">
      <c r="B41" s="46" t="s">
        <v>102</v>
      </c>
      <c r="C41" s="35"/>
      <c r="D41" s="35"/>
      <c r="E41" s="35"/>
      <c r="F41" s="35"/>
      <c r="G41" s="35"/>
      <c r="H41" s="35"/>
      <c r="I41" s="35"/>
      <c r="J41" s="35"/>
      <c r="K41" s="35"/>
      <c r="L41" s="35">
        <v>8200</v>
      </c>
      <c r="M41" s="35"/>
      <c r="N41" s="35"/>
      <c r="O41" s="60" t="s">
        <v>103</v>
      </c>
      <c r="P41" s="61">
        <f>SUM(C41:N41)</f>
        <v>8200</v>
      </c>
    </row>
    <row r="42" spans="2:31" x14ac:dyDescent="0.25">
      <c r="B42" s="34" t="s">
        <v>105</v>
      </c>
      <c r="C42" s="34"/>
      <c r="D42" s="34"/>
      <c r="E42" s="34"/>
      <c r="F42" s="34"/>
      <c r="G42" s="34"/>
      <c r="H42" s="34"/>
      <c r="I42" s="34"/>
      <c r="J42" s="34"/>
      <c r="K42" s="34"/>
      <c r="L42" s="34">
        <v>8200</v>
      </c>
      <c r="M42" s="34"/>
      <c r="N42" s="34"/>
      <c r="O42" s="34"/>
      <c r="P42" s="34"/>
    </row>
    <row r="43" spans="2:31" x14ac:dyDescent="0.25">
      <c r="B43" s="34" t="s">
        <v>106</v>
      </c>
      <c r="C43" s="34">
        <f t="shared" ref="C43:N43" si="17">$P$43/12</f>
        <v>350</v>
      </c>
      <c r="D43" s="34">
        <f t="shared" si="17"/>
        <v>350</v>
      </c>
      <c r="E43" s="34">
        <f t="shared" si="17"/>
        <v>350</v>
      </c>
      <c r="F43" s="34">
        <f t="shared" si="17"/>
        <v>350</v>
      </c>
      <c r="G43" s="34">
        <f t="shared" si="17"/>
        <v>350</v>
      </c>
      <c r="H43" s="34">
        <f t="shared" si="17"/>
        <v>350</v>
      </c>
      <c r="I43" s="34">
        <f t="shared" si="17"/>
        <v>350</v>
      </c>
      <c r="J43" s="34">
        <f t="shared" si="17"/>
        <v>350</v>
      </c>
      <c r="K43" s="34">
        <f t="shared" si="17"/>
        <v>350</v>
      </c>
      <c r="L43" s="34">
        <f t="shared" si="17"/>
        <v>350</v>
      </c>
      <c r="M43" s="34">
        <f t="shared" si="17"/>
        <v>350</v>
      </c>
      <c r="N43" s="34">
        <f t="shared" si="17"/>
        <v>350</v>
      </c>
      <c r="O43" s="60" t="s">
        <v>107</v>
      </c>
      <c r="P43" s="61">
        <f>Informations!D26</f>
        <v>4200</v>
      </c>
    </row>
    <row r="44" spans="2:31" x14ac:dyDescent="0.25">
      <c r="B44" s="34" t="s">
        <v>108</v>
      </c>
      <c r="C44" s="34">
        <f t="shared" ref="C44:N44" si="18">$P$44/12</f>
        <v>5000</v>
      </c>
      <c r="D44" s="34">
        <f t="shared" si="18"/>
        <v>5000</v>
      </c>
      <c r="E44" s="34">
        <f t="shared" si="18"/>
        <v>5000</v>
      </c>
      <c r="F44" s="34">
        <f t="shared" si="18"/>
        <v>5000</v>
      </c>
      <c r="G44" s="34">
        <f t="shared" si="18"/>
        <v>5000</v>
      </c>
      <c r="H44" s="34">
        <f t="shared" si="18"/>
        <v>5000</v>
      </c>
      <c r="I44" s="34">
        <f t="shared" si="18"/>
        <v>5000</v>
      </c>
      <c r="J44" s="34">
        <f t="shared" si="18"/>
        <v>5000</v>
      </c>
      <c r="K44" s="34">
        <f t="shared" si="18"/>
        <v>5000</v>
      </c>
      <c r="L44" s="34">
        <f t="shared" si="18"/>
        <v>5000</v>
      </c>
      <c r="M44" s="34">
        <f t="shared" si="18"/>
        <v>5000</v>
      </c>
      <c r="N44" s="34">
        <f t="shared" si="18"/>
        <v>5000</v>
      </c>
      <c r="O44" s="60" t="s">
        <v>109</v>
      </c>
      <c r="P44" s="61">
        <f>Informations!E26</f>
        <v>60000</v>
      </c>
    </row>
    <row r="45" spans="2:31" x14ac:dyDescent="0.25">
      <c r="B45" s="34" t="s">
        <v>217</v>
      </c>
      <c r="C45" s="34">
        <f>Informations!$I31</f>
        <v>0</v>
      </c>
      <c r="D45" s="34">
        <f>Informations!$I31</f>
        <v>0</v>
      </c>
      <c r="E45" s="34">
        <f>Informations!$I31</f>
        <v>0</v>
      </c>
      <c r="F45" s="34">
        <f>Informations!$I31</f>
        <v>0</v>
      </c>
      <c r="G45" s="34">
        <f>Informations!$I31</f>
        <v>0</v>
      </c>
      <c r="H45" s="34">
        <f>Informations!$I31</f>
        <v>0</v>
      </c>
      <c r="I45" s="34">
        <f>Informations!$I31</f>
        <v>0</v>
      </c>
      <c r="J45" s="34">
        <f>Informations!$I31</f>
        <v>0</v>
      </c>
      <c r="K45" s="34">
        <f>Informations!$I31</f>
        <v>0</v>
      </c>
      <c r="L45" s="34">
        <f>Informations!$I31</f>
        <v>0</v>
      </c>
      <c r="M45" s="34">
        <f>Informations!$I31</f>
        <v>0</v>
      </c>
      <c r="N45" s="34">
        <f>Informations!$I31</f>
        <v>0</v>
      </c>
      <c r="O45" s="60" t="s">
        <v>226</v>
      </c>
      <c r="P45" s="61">
        <f>SUM(C45:N45)</f>
        <v>0</v>
      </c>
    </row>
    <row r="46" spans="2:31" x14ac:dyDescent="0.25">
      <c r="B46" s="59" t="s">
        <v>71</v>
      </c>
      <c r="C46" s="59">
        <f>C43+C44+C45</f>
        <v>5350</v>
      </c>
      <c r="D46" s="59">
        <f t="shared" ref="D46:N46" si="19">D43+D44+D45</f>
        <v>5350</v>
      </c>
      <c r="E46" s="59">
        <f t="shared" si="19"/>
        <v>5350</v>
      </c>
      <c r="F46" s="59">
        <f t="shared" si="19"/>
        <v>5350</v>
      </c>
      <c r="G46" s="59">
        <f t="shared" si="19"/>
        <v>5350</v>
      </c>
      <c r="H46" s="59">
        <f t="shared" si="19"/>
        <v>5350</v>
      </c>
      <c r="I46" s="59">
        <f t="shared" si="19"/>
        <v>5350</v>
      </c>
      <c r="J46" s="59">
        <f t="shared" si="19"/>
        <v>5350</v>
      </c>
      <c r="K46" s="59">
        <f t="shared" si="19"/>
        <v>5350</v>
      </c>
      <c r="L46" s="59">
        <f t="shared" si="19"/>
        <v>5350</v>
      </c>
      <c r="M46" s="59">
        <f t="shared" si="19"/>
        <v>5350</v>
      </c>
      <c r="N46" s="59">
        <f t="shared" si="19"/>
        <v>5350</v>
      </c>
      <c r="O46" s="38"/>
      <c r="P46" s="38"/>
    </row>
    <row r="48" spans="2:31" x14ac:dyDescent="0.25">
      <c r="S48" s="283" t="s">
        <v>203</v>
      </c>
      <c r="T48" s="283" t="s">
        <v>50</v>
      </c>
      <c r="U48" s="283" t="s">
        <v>51</v>
      </c>
      <c r="V48" s="283" t="s">
        <v>52</v>
      </c>
      <c r="W48" s="283" t="s">
        <v>53</v>
      </c>
      <c r="X48" s="283" t="s">
        <v>54</v>
      </c>
      <c r="Y48" s="283" t="s">
        <v>55</v>
      </c>
      <c r="Z48" s="283" t="s">
        <v>56</v>
      </c>
      <c r="AA48" s="283" t="s">
        <v>57</v>
      </c>
      <c r="AB48" s="283" t="s">
        <v>58</v>
      </c>
      <c r="AC48" s="283" t="s">
        <v>59</v>
      </c>
      <c r="AD48" s="283" t="s">
        <v>60</v>
      </c>
      <c r="AE48" s="283" t="s">
        <v>61</v>
      </c>
    </row>
    <row r="49" spans="2:31" x14ac:dyDescent="0.25">
      <c r="B49" s="288" t="s">
        <v>110</v>
      </c>
      <c r="C49" s="288"/>
      <c r="D49" s="288"/>
      <c r="E49" s="288"/>
      <c r="F49" s="288"/>
      <c r="G49" s="288"/>
      <c r="H49" s="288"/>
      <c r="I49" s="288"/>
      <c r="J49" s="288"/>
      <c r="K49" s="288"/>
      <c r="L49" s="288"/>
      <c r="M49" s="288"/>
      <c r="N49" s="288"/>
      <c r="O49" s="288"/>
      <c r="P49" s="288"/>
      <c r="S49" s="283"/>
      <c r="T49" s="283"/>
      <c r="U49" s="283"/>
      <c r="V49" s="283"/>
      <c r="W49" s="283"/>
      <c r="X49" s="283"/>
      <c r="Y49" s="283"/>
      <c r="Z49" s="283"/>
      <c r="AA49" s="283"/>
      <c r="AB49" s="283"/>
      <c r="AC49" s="283"/>
      <c r="AD49" s="283"/>
      <c r="AE49" s="283"/>
    </row>
    <row r="50" spans="2:31" x14ac:dyDescent="0.25">
      <c r="B50" s="213"/>
      <c r="C50" s="215" t="s">
        <v>50</v>
      </c>
      <c r="D50" s="215" t="s">
        <v>51</v>
      </c>
      <c r="E50" s="215" t="s">
        <v>52</v>
      </c>
      <c r="F50" s="215" t="s">
        <v>53</v>
      </c>
      <c r="G50" s="215" t="s">
        <v>54</v>
      </c>
      <c r="H50" s="215" t="s">
        <v>55</v>
      </c>
      <c r="I50" s="215" t="s">
        <v>56</v>
      </c>
      <c r="J50" s="215" t="s">
        <v>57</v>
      </c>
      <c r="K50" s="215" t="s">
        <v>58</v>
      </c>
      <c r="L50" s="215" t="s">
        <v>59</v>
      </c>
      <c r="M50" s="215" t="s">
        <v>60</v>
      </c>
      <c r="N50" s="215" t="s">
        <v>61</v>
      </c>
      <c r="O50" s="220" t="s">
        <v>62</v>
      </c>
      <c r="P50" s="221"/>
      <c r="S50" s="59" t="s">
        <v>204</v>
      </c>
      <c r="T50" s="59">
        <f t="shared" ref="T50:AE50" si="20">C75</f>
        <v>81151.199999999997</v>
      </c>
      <c r="U50" s="59">
        <f t="shared" si="20"/>
        <v>6302.4</v>
      </c>
      <c r="V50" s="59">
        <f t="shared" si="20"/>
        <v>36302.400000000001</v>
      </c>
      <c r="W50" s="59">
        <f t="shared" si="20"/>
        <v>6302.4</v>
      </c>
      <c r="X50" s="59">
        <f t="shared" si="20"/>
        <v>6302.4</v>
      </c>
      <c r="Y50" s="59">
        <f t="shared" si="20"/>
        <v>7802.4</v>
      </c>
      <c r="Z50" s="59">
        <f t="shared" si="20"/>
        <v>6302.4</v>
      </c>
      <c r="AA50" s="59">
        <f t="shared" si="20"/>
        <v>6302.4</v>
      </c>
      <c r="AB50" s="59">
        <f t="shared" si="20"/>
        <v>6302.4</v>
      </c>
      <c r="AC50" s="59">
        <f t="shared" si="20"/>
        <v>6302.4</v>
      </c>
      <c r="AD50" s="59">
        <f t="shared" si="20"/>
        <v>6302.4</v>
      </c>
      <c r="AE50" s="59">
        <f t="shared" si="20"/>
        <v>6302.4</v>
      </c>
    </row>
    <row r="51" spans="2:31" x14ac:dyDescent="0.25">
      <c r="B51" s="214"/>
      <c r="C51" s="216"/>
      <c r="D51" s="216"/>
      <c r="E51" s="216"/>
      <c r="F51" s="216"/>
      <c r="G51" s="216"/>
      <c r="H51" s="216"/>
      <c r="I51" s="216"/>
      <c r="J51" s="216"/>
      <c r="K51" s="216"/>
      <c r="L51" s="216"/>
      <c r="M51" s="216"/>
      <c r="N51" s="216"/>
      <c r="O51" s="58" t="s">
        <v>64</v>
      </c>
      <c r="P51" s="58" t="s">
        <v>65</v>
      </c>
      <c r="S51" s="34" t="s">
        <v>205</v>
      </c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</row>
    <row r="52" spans="2:31" x14ac:dyDescent="0.25">
      <c r="B52" s="35" t="s">
        <v>111</v>
      </c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60" t="s">
        <v>112</v>
      </c>
      <c r="P52" s="61">
        <f>SUM(C52:N52)</f>
        <v>0</v>
      </c>
      <c r="S52" s="34" t="s">
        <v>206</v>
      </c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</row>
    <row r="53" spans="2:31" x14ac:dyDescent="0.25">
      <c r="B53" s="34" t="s">
        <v>113</v>
      </c>
      <c r="C53" s="34">
        <f>C52*20%</f>
        <v>0</v>
      </c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S53" s="34" t="s">
        <v>207</v>
      </c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>
        <v>1241</v>
      </c>
    </row>
    <row r="54" spans="2:31" x14ac:dyDescent="0.25">
      <c r="B54" s="34" t="s">
        <v>114</v>
      </c>
      <c r="C54" s="34">
        <f>C52+C53</f>
        <v>0</v>
      </c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S54" s="59" t="s">
        <v>210</v>
      </c>
      <c r="T54" s="59">
        <f>T50+T53</f>
        <v>81151.199999999997</v>
      </c>
      <c r="U54" s="59">
        <f t="shared" ref="U54:AE54" si="21">SUM(U50:U53)</f>
        <v>6302.4</v>
      </c>
      <c r="V54" s="59">
        <f t="shared" si="21"/>
        <v>36302.400000000001</v>
      </c>
      <c r="W54" s="59">
        <f t="shared" si="21"/>
        <v>6302.4</v>
      </c>
      <c r="X54" s="59">
        <f t="shared" si="21"/>
        <v>6302.4</v>
      </c>
      <c r="Y54" s="59">
        <f t="shared" si="21"/>
        <v>7802.4</v>
      </c>
      <c r="Z54" s="59">
        <f t="shared" si="21"/>
        <v>6302.4</v>
      </c>
      <c r="AA54" s="59">
        <f t="shared" si="21"/>
        <v>6302.4</v>
      </c>
      <c r="AB54" s="59">
        <f t="shared" si="21"/>
        <v>6302.4</v>
      </c>
      <c r="AC54" s="59">
        <f t="shared" si="21"/>
        <v>6302.4</v>
      </c>
      <c r="AD54" s="59">
        <f t="shared" si="21"/>
        <v>6302.4</v>
      </c>
      <c r="AE54" s="59">
        <f t="shared" si="21"/>
        <v>7543.4</v>
      </c>
    </row>
    <row r="55" spans="2:31" x14ac:dyDescent="0.25">
      <c r="B55" s="59" t="s">
        <v>81</v>
      </c>
      <c r="C55" s="59">
        <f>C54</f>
        <v>0</v>
      </c>
      <c r="D55" s="59"/>
      <c r="E55" s="59"/>
      <c r="F55" s="59"/>
      <c r="G55" s="59"/>
      <c r="H55" s="59"/>
      <c r="I55" s="59"/>
      <c r="J55" s="59"/>
      <c r="K55" s="59"/>
      <c r="L55" s="59"/>
      <c r="M55" s="59"/>
      <c r="N55" s="59"/>
      <c r="O55" s="60" t="s">
        <v>220</v>
      </c>
      <c r="P55" s="61">
        <v>0</v>
      </c>
      <c r="S55" s="34" t="s">
        <v>211</v>
      </c>
      <c r="T55" s="34">
        <f t="shared" ref="T55:AE55" si="22">C85</f>
        <v>96630.362857142856</v>
      </c>
      <c r="U55" s="34">
        <f t="shared" si="22"/>
        <v>51634.03571428571</v>
      </c>
      <c r="V55" s="34">
        <f t="shared" si="22"/>
        <v>51634.03571428571</v>
      </c>
      <c r="W55" s="34">
        <f t="shared" si="22"/>
        <v>51634.03571428571</v>
      </c>
      <c r="X55" s="34">
        <f t="shared" si="22"/>
        <v>51634.03571428571</v>
      </c>
      <c r="Y55" s="34">
        <f t="shared" si="22"/>
        <v>51634.03571428571</v>
      </c>
      <c r="Z55" s="34">
        <f t="shared" si="22"/>
        <v>51634.03571428571</v>
      </c>
      <c r="AA55" s="34">
        <f t="shared" si="22"/>
        <v>51634.03571428571</v>
      </c>
      <c r="AB55" s="34">
        <f t="shared" si="22"/>
        <v>51634.03571428571</v>
      </c>
      <c r="AC55" s="34">
        <f t="shared" si="22"/>
        <v>59834.03571428571</v>
      </c>
      <c r="AD55" s="34">
        <f t="shared" si="22"/>
        <v>51634.03571428571</v>
      </c>
      <c r="AE55" s="34">
        <f t="shared" si="22"/>
        <v>51634.03571428571</v>
      </c>
    </row>
    <row r="56" spans="2:31" x14ac:dyDescent="0.25">
      <c r="S56" s="34" t="s">
        <v>212</v>
      </c>
      <c r="T56" s="34"/>
      <c r="U56" s="34">
        <f t="shared" ref="U56:AE56" si="23">T53*0.07</f>
        <v>0</v>
      </c>
      <c r="V56" s="34">
        <f t="shared" si="23"/>
        <v>0</v>
      </c>
      <c r="W56" s="34">
        <f t="shared" si="23"/>
        <v>0</v>
      </c>
      <c r="X56" s="34">
        <f t="shared" si="23"/>
        <v>0</v>
      </c>
      <c r="Y56" s="34">
        <f t="shared" si="23"/>
        <v>0</v>
      </c>
      <c r="Z56" s="34">
        <f t="shared" si="23"/>
        <v>0</v>
      </c>
      <c r="AA56" s="34">
        <f t="shared" si="23"/>
        <v>0</v>
      </c>
      <c r="AB56" s="34">
        <f t="shared" si="23"/>
        <v>0</v>
      </c>
      <c r="AC56" s="34">
        <f t="shared" si="23"/>
        <v>0</v>
      </c>
      <c r="AD56" s="34">
        <f t="shared" si="23"/>
        <v>0</v>
      </c>
      <c r="AE56" s="34">
        <f t="shared" si="23"/>
        <v>0</v>
      </c>
    </row>
    <row r="57" spans="2:31" x14ac:dyDescent="0.25">
      <c r="S57" s="59" t="s">
        <v>213</v>
      </c>
      <c r="T57" s="59">
        <f t="shared" ref="T57:AE57" si="24">T55+T56</f>
        <v>96630.362857142856</v>
      </c>
      <c r="U57" s="59">
        <f t="shared" si="24"/>
        <v>51634.03571428571</v>
      </c>
      <c r="V57" s="59">
        <f t="shared" si="24"/>
        <v>51634.03571428571</v>
      </c>
      <c r="W57" s="59">
        <f t="shared" si="24"/>
        <v>51634.03571428571</v>
      </c>
      <c r="X57" s="59">
        <f t="shared" si="24"/>
        <v>51634.03571428571</v>
      </c>
      <c r="Y57" s="59">
        <f t="shared" si="24"/>
        <v>51634.03571428571</v>
      </c>
      <c r="Z57" s="59">
        <f t="shared" si="24"/>
        <v>51634.03571428571</v>
      </c>
      <c r="AA57" s="59">
        <f t="shared" si="24"/>
        <v>51634.03571428571</v>
      </c>
      <c r="AB57" s="59">
        <f t="shared" si="24"/>
        <v>51634.03571428571</v>
      </c>
      <c r="AC57" s="59">
        <f t="shared" si="24"/>
        <v>59834.03571428571</v>
      </c>
      <c r="AD57" s="59">
        <f t="shared" si="24"/>
        <v>51634.03571428571</v>
      </c>
      <c r="AE57" s="59">
        <f t="shared" si="24"/>
        <v>51634.03571428571</v>
      </c>
    </row>
    <row r="58" spans="2:31" x14ac:dyDescent="0.25">
      <c r="B58" s="288" t="s">
        <v>116</v>
      </c>
      <c r="C58" s="288"/>
      <c r="D58" s="288"/>
      <c r="E58" s="288"/>
      <c r="F58" s="288"/>
      <c r="G58" s="288"/>
      <c r="H58" s="288"/>
      <c r="I58" s="288"/>
      <c r="J58" s="288"/>
      <c r="K58" s="288"/>
      <c r="L58" s="288"/>
      <c r="M58" s="288"/>
      <c r="N58" s="288"/>
      <c r="O58" s="288"/>
      <c r="P58" s="288"/>
      <c r="S58" s="34" t="s">
        <v>132</v>
      </c>
      <c r="T58" s="34">
        <f>C86</f>
        <v>6350</v>
      </c>
      <c r="U58" s="34">
        <f t="shared" ref="U58:AE58" si="25">T60</f>
        <v>-9129.1628571428591</v>
      </c>
      <c r="V58" s="34">
        <f t="shared" si="25"/>
        <v>-54460.798571428568</v>
      </c>
      <c r="W58" s="34">
        <f t="shared" si="25"/>
        <v>-69792.434285714276</v>
      </c>
      <c r="X58" s="34">
        <f t="shared" si="25"/>
        <v>-115124.06999999998</v>
      </c>
      <c r="Y58" s="34">
        <f t="shared" si="25"/>
        <v>-160455.70571428569</v>
      </c>
      <c r="Z58" s="34">
        <f t="shared" si="25"/>
        <v>-204287.34142857141</v>
      </c>
      <c r="AA58" s="34">
        <f t="shared" si="25"/>
        <v>-249618.97714285713</v>
      </c>
      <c r="AB58" s="34">
        <f t="shared" si="25"/>
        <v>-294950.61285714281</v>
      </c>
      <c r="AC58" s="34">
        <f t="shared" si="25"/>
        <v>-340282.24857142853</v>
      </c>
      <c r="AD58" s="34">
        <f t="shared" si="25"/>
        <v>-393813.88428571424</v>
      </c>
      <c r="AE58" s="34">
        <f t="shared" si="25"/>
        <v>-439145.51999999996</v>
      </c>
    </row>
    <row r="59" spans="2:31" x14ac:dyDescent="0.25">
      <c r="B59" s="213"/>
      <c r="C59" s="215" t="s">
        <v>50</v>
      </c>
      <c r="D59" s="215" t="s">
        <v>51</v>
      </c>
      <c r="E59" s="215" t="s">
        <v>52</v>
      </c>
      <c r="F59" s="215" t="s">
        <v>53</v>
      </c>
      <c r="G59" s="215" t="s">
        <v>54</v>
      </c>
      <c r="H59" s="215" t="s">
        <v>55</v>
      </c>
      <c r="I59" s="215" t="s">
        <v>56</v>
      </c>
      <c r="J59" s="215" t="s">
        <v>57</v>
      </c>
      <c r="K59" s="215" t="s">
        <v>58</v>
      </c>
      <c r="L59" s="215" t="s">
        <v>59</v>
      </c>
      <c r="M59" s="215" t="s">
        <v>60</v>
      </c>
      <c r="N59" s="215" t="s">
        <v>61</v>
      </c>
      <c r="O59" s="220" t="s">
        <v>62</v>
      </c>
      <c r="P59" s="221"/>
      <c r="S59" s="34" t="s">
        <v>133</v>
      </c>
      <c r="T59" s="34">
        <f>T54-T57</f>
        <v>-15479.162857142859</v>
      </c>
      <c r="U59" s="34">
        <f t="shared" ref="U59:AE59" si="26">U54-U57</f>
        <v>-45331.635714285709</v>
      </c>
      <c r="V59" s="34">
        <f t="shared" si="26"/>
        <v>-15331.635714285709</v>
      </c>
      <c r="W59" s="34">
        <f t="shared" si="26"/>
        <v>-45331.635714285709</v>
      </c>
      <c r="X59" s="34">
        <f t="shared" si="26"/>
        <v>-45331.635714285709</v>
      </c>
      <c r="Y59" s="34">
        <f t="shared" si="26"/>
        <v>-43831.635714285709</v>
      </c>
      <c r="Z59" s="34">
        <f t="shared" si="26"/>
        <v>-45331.635714285709</v>
      </c>
      <c r="AA59" s="34">
        <f t="shared" si="26"/>
        <v>-45331.635714285709</v>
      </c>
      <c r="AB59" s="34">
        <f t="shared" si="26"/>
        <v>-45331.635714285709</v>
      </c>
      <c r="AC59" s="34">
        <f t="shared" si="26"/>
        <v>-53531.635714285709</v>
      </c>
      <c r="AD59" s="34">
        <f t="shared" si="26"/>
        <v>-45331.635714285709</v>
      </c>
      <c r="AE59" s="34">
        <f t="shared" si="26"/>
        <v>-44090.635714285709</v>
      </c>
    </row>
    <row r="60" spans="2:31" x14ac:dyDescent="0.25">
      <c r="B60" s="214"/>
      <c r="C60" s="216"/>
      <c r="D60" s="216"/>
      <c r="E60" s="216"/>
      <c r="F60" s="216"/>
      <c r="G60" s="216"/>
      <c r="H60" s="216"/>
      <c r="I60" s="216"/>
      <c r="J60" s="216"/>
      <c r="K60" s="216"/>
      <c r="L60" s="216"/>
      <c r="M60" s="216"/>
      <c r="N60" s="216"/>
      <c r="O60" s="58" t="s">
        <v>64</v>
      </c>
      <c r="P60" s="58" t="s">
        <v>65</v>
      </c>
      <c r="S60" s="34" t="s">
        <v>214</v>
      </c>
      <c r="T60" s="34">
        <f t="shared" ref="T60:AD60" si="27">T58+T59</f>
        <v>-9129.1628571428591</v>
      </c>
      <c r="U60" s="34">
        <f t="shared" si="27"/>
        <v>-54460.798571428568</v>
      </c>
      <c r="V60" s="34">
        <f t="shared" si="27"/>
        <v>-69792.434285714276</v>
      </c>
      <c r="W60" s="34">
        <f t="shared" si="27"/>
        <v>-115124.06999999998</v>
      </c>
      <c r="X60" s="34">
        <f t="shared" si="27"/>
        <v>-160455.70571428569</v>
      </c>
      <c r="Y60" s="34">
        <f t="shared" si="27"/>
        <v>-204287.34142857141</v>
      </c>
      <c r="Z60" s="34">
        <f t="shared" si="27"/>
        <v>-249618.97714285713</v>
      </c>
      <c r="AA60" s="34">
        <f t="shared" si="27"/>
        <v>-294950.61285714281</v>
      </c>
      <c r="AB60" s="34">
        <f t="shared" si="27"/>
        <v>-340282.24857142853</v>
      </c>
      <c r="AC60" s="34">
        <f t="shared" si="27"/>
        <v>-393813.88428571424</v>
      </c>
      <c r="AD60" s="34">
        <f t="shared" si="27"/>
        <v>-439145.51999999996</v>
      </c>
      <c r="AE60" s="34">
        <f>AE58+AE59</f>
        <v>-483236.15571428568</v>
      </c>
    </row>
    <row r="61" spans="2:31" x14ac:dyDescent="0.25">
      <c r="B61" s="59" t="s">
        <v>68</v>
      </c>
      <c r="C61" s="59">
        <f t="shared" ref="C61:N61" si="28">C6</f>
        <v>1050.4000000000001</v>
      </c>
      <c r="D61" s="59">
        <f t="shared" si="28"/>
        <v>1050.4000000000001</v>
      </c>
      <c r="E61" s="59">
        <f t="shared" si="28"/>
        <v>1050.4000000000001</v>
      </c>
      <c r="F61" s="59">
        <f t="shared" si="28"/>
        <v>1050.4000000000001</v>
      </c>
      <c r="G61" s="59">
        <f t="shared" si="28"/>
        <v>1050.4000000000001</v>
      </c>
      <c r="H61" s="59">
        <f t="shared" si="28"/>
        <v>1050.4000000000001</v>
      </c>
      <c r="I61" s="59">
        <f t="shared" si="28"/>
        <v>1050.4000000000001</v>
      </c>
      <c r="J61" s="59">
        <f t="shared" si="28"/>
        <v>1050.4000000000001</v>
      </c>
      <c r="K61" s="59">
        <f t="shared" si="28"/>
        <v>1050.4000000000001</v>
      </c>
      <c r="L61" s="59">
        <f t="shared" si="28"/>
        <v>1050.4000000000001</v>
      </c>
      <c r="M61" s="59">
        <f t="shared" si="28"/>
        <v>1050.4000000000001</v>
      </c>
      <c r="N61" s="59">
        <f t="shared" si="28"/>
        <v>1050.4000000000001</v>
      </c>
      <c r="O61" s="34"/>
      <c r="P61" s="34"/>
    </row>
    <row r="62" spans="2:31" x14ac:dyDescent="0.25">
      <c r="B62" s="34" t="s">
        <v>79</v>
      </c>
      <c r="C62" s="34">
        <f t="shared" ref="C62:N62" si="29">C15</f>
        <v>315.12</v>
      </c>
      <c r="D62" s="34">
        <f t="shared" si="29"/>
        <v>315.12</v>
      </c>
      <c r="E62" s="34">
        <f t="shared" si="29"/>
        <v>315.12</v>
      </c>
      <c r="F62" s="34">
        <f t="shared" si="29"/>
        <v>315.12</v>
      </c>
      <c r="G62" s="34">
        <f t="shared" si="29"/>
        <v>315.12</v>
      </c>
      <c r="H62" s="34">
        <f t="shared" si="29"/>
        <v>315.12</v>
      </c>
      <c r="I62" s="34">
        <f t="shared" si="29"/>
        <v>315.12</v>
      </c>
      <c r="J62" s="34">
        <f t="shared" si="29"/>
        <v>315.12</v>
      </c>
      <c r="K62" s="34">
        <f t="shared" si="29"/>
        <v>315.12</v>
      </c>
      <c r="L62" s="34">
        <f t="shared" si="29"/>
        <v>315.12</v>
      </c>
      <c r="M62" s="34">
        <f t="shared" si="29"/>
        <v>315.12</v>
      </c>
      <c r="N62" s="34">
        <f t="shared" si="29"/>
        <v>315.12</v>
      </c>
      <c r="O62" s="34"/>
      <c r="P62" s="34"/>
    </row>
    <row r="63" spans="2:31" x14ac:dyDescent="0.25">
      <c r="B63" s="34" t="s">
        <v>86</v>
      </c>
      <c r="C63" s="34">
        <f>C24+C26</f>
        <v>1481.6071428571429</v>
      </c>
      <c r="D63" s="34">
        <f t="shared" ref="D63:N63" si="30">D24+D26</f>
        <v>1481.6071428571429</v>
      </c>
      <c r="E63" s="34">
        <f t="shared" si="30"/>
        <v>1481.6071428571429</v>
      </c>
      <c r="F63" s="34">
        <f t="shared" si="30"/>
        <v>1481.6071428571429</v>
      </c>
      <c r="G63" s="34">
        <f t="shared" si="30"/>
        <v>1481.6071428571429</v>
      </c>
      <c r="H63" s="34">
        <f t="shared" si="30"/>
        <v>1481.6071428571429</v>
      </c>
      <c r="I63" s="34">
        <f t="shared" si="30"/>
        <v>1481.6071428571429</v>
      </c>
      <c r="J63" s="34">
        <f t="shared" si="30"/>
        <v>1481.6071428571429</v>
      </c>
      <c r="K63" s="34">
        <f t="shared" si="30"/>
        <v>1481.6071428571429</v>
      </c>
      <c r="L63" s="34">
        <f t="shared" si="30"/>
        <v>1481.6071428571429</v>
      </c>
      <c r="M63" s="34">
        <f t="shared" si="30"/>
        <v>1481.6071428571429</v>
      </c>
      <c r="N63" s="34">
        <f t="shared" si="30"/>
        <v>1481.6071428571429</v>
      </c>
      <c r="O63" s="34"/>
      <c r="P63" s="34"/>
    </row>
    <row r="64" spans="2:31" x14ac:dyDescent="0.25">
      <c r="B64" s="59" t="s">
        <v>113</v>
      </c>
      <c r="C64" s="59">
        <f t="shared" ref="C64:N64" si="31">C53</f>
        <v>0</v>
      </c>
      <c r="D64" s="59">
        <f>D53</f>
        <v>0</v>
      </c>
      <c r="E64" s="59">
        <f t="shared" si="31"/>
        <v>0</v>
      </c>
      <c r="F64" s="59">
        <f t="shared" si="31"/>
        <v>0</v>
      </c>
      <c r="G64" s="59">
        <f t="shared" si="31"/>
        <v>0</v>
      </c>
      <c r="H64" s="59">
        <f t="shared" si="31"/>
        <v>0</v>
      </c>
      <c r="I64" s="59">
        <f t="shared" si="31"/>
        <v>0</v>
      </c>
      <c r="J64" s="59">
        <f t="shared" si="31"/>
        <v>0</v>
      </c>
      <c r="K64" s="59">
        <f t="shared" si="31"/>
        <v>0</v>
      </c>
      <c r="L64" s="59">
        <f t="shared" si="31"/>
        <v>0</v>
      </c>
      <c r="M64" s="59">
        <f t="shared" si="31"/>
        <v>0</v>
      </c>
      <c r="N64" s="59">
        <f t="shared" si="31"/>
        <v>0</v>
      </c>
      <c r="O64" s="34"/>
      <c r="P64" s="34"/>
    </row>
    <row r="65" spans="2:27" x14ac:dyDescent="0.25">
      <c r="B65" s="44" t="s">
        <v>117</v>
      </c>
      <c r="C65" s="42">
        <f t="shared" ref="C65:N65" si="32">C62+C63+C64</f>
        <v>1796.727142857143</v>
      </c>
      <c r="D65" s="42">
        <f t="shared" si="32"/>
        <v>1796.727142857143</v>
      </c>
      <c r="E65" s="42">
        <f t="shared" si="32"/>
        <v>1796.727142857143</v>
      </c>
      <c r="F65" s="42">
        <f t="shared" si="32"/>
        <v>1796.727142857143</v>
      </c>
      <c r="G65" s="42">
        <f t="shared" si="32"/>
        <v>1796.727142857143</v>
      </c>
      <c r="H65" s="42">
        <f t="shared" si="32"/>
        <v>1796.727142857143</v>
      </c>
      <c r="I65" s="42">
        <f t="shared" si="32"/>
        <v>1796.727142857143</v>
      </c>
      <c r="J65" s="42">
        <f t="shared" si="32"/>
        <v>1796.727142857143</v>
      </c>
      <c r="K65" s="42">
        <f t="shared" si="32"/>
        <v>1796.727142857143</v>
      </c>
      <c r="L65" s="42">
        <f t="shared" si="32"/>
        <v>1796.727142857143</v>
      </c>
      <c r="M65" s="42">
        <f t="shared" si="32"/>
        <v>1796.727142857143</v>
      </c>
      <c r="N65" s="42">
        <f t="shared" si="32"/>
        <v>1796.727142857143</v>
      </c>
      <c r="O65" s="34"/>
      <c r="P65" s="34"/>
    </row>
    <row r="66" spans="2:27" x14ac:dyDescent="0.25">
      <c r="B66" s="45" t="s">
        <v>118</v>
      </c>
      <c r="C66" s="43">
        <f t="shared" ref="C66:N66" si="33">C61-C65</f>
        <v>-746.32714285714292</v>
      </c>
      <c r="D66" s="43">
        <f>D61-D65</f>
        <v>-746.32714285714292</v>
      </c>
      <c r="E66" s="43">
        <f t="shared" si="33"/>
        <v>-746.32714285714292</v>
      </c>
      <c r="F66" s="43">
        <f t="shared" si="33"/>
        <v>-746.32714285714292</v>
      </c>
      <c r="G66" s="43">
        <f t="shared" si="33"/>
        <v>-746.32714285714292</v>
      </c>
      <c r="H66" s="43">
        <f t="shared" si="33"/>
        <v>-746.32714285714292</v>
      </c>
      <c r="I66" s="43">
        <f t="shared" si="33"/>
        <v>-746.32714285714292</v>
      </c>
      <c r="J66" s="43">
        <f t="shared" si="33"/>
        <v>-746.32714285714292</v>
      </c>
      <c r="K66" s="43">
        <f t="shared" si="33"/>
        <v>-746.32714285714292</v>
      </c>
      <c r="L66" s="43">
        <f t="shared" si="33"/>
        <v>-746.32714285714292</v>
      </c>
      <c r="M66" s="43">
        <f t="shared" si="33"/>
        <v>-746.32714285714292</v>
      </c>
      <c r="N66" s="43">
        <f t="shared" si="33"/>
        <v>-746.32714285714292</v>
      </c>
      <c r="O66" s="34"/>
      <c r="P66" s="34"/>
    </row>
    <row r="67" spans="2:27" x14ac:dyDescent="0.25">
      <c r="B67" s="59" t="s">
        <v>81</v>
      </c>
      <c r="C67" s="59">
        <v>15000</v>
      </c>
      <c r="D67" s="59">
        <f t="shared" ref="D67:N67" si="34">C66</f>
        <v>-746.32714285714292</v>
      </c>
      <c r="E67" s="59">
        <f t="shared" si="34"/>
        <v>-746.32714285714292</v>
      </c>
      <c r="F67" s="59">
        <f t="shared" si="34"/>
        <v>-746.32714285714292</v>
      </c>
      <c r="G67" s="59">
        <f t="shared" si="34"/>
        <v>-746.32714285714292</v>
      </c>
      <c r="H67" s="59">
        <f t="shared" si="34"/>
        <v>-746.32714285714292</v>
      </c>
      <c r="I67" s="59">
        <f t="shared" si="34"/>
        <v>-746.32714285714292</v>
      </c>
      <c r="J67" s="59">
        <f t="shared" si="34"/>
        <v>-746.32714285714292</v>
      </c>
      <c r="K67" s="59">
        <f t="shared" si="34"/>
        <v>-746.32714285714292</v>
      </c>
      <c r="L67" s="59">
        <f t="shared" si="34"/>
        <v>-746.32714285714292</v>
      </c>
      <c r="M67" s="59">
        <f t="shared" si="34"/>
        <v>-746.32714285714292</v>
      </c>
      <c r="N67" s="59">
        <f t="shared" si="34"/>
        <v>-746.32714285714292</v>
      </c>
      <c r="O67" s="60" t="s">
        <v>119</v>
      </c>
      <c r="P67" s="61">
        <f>N66</f>
        <v>-746.32714285714292</v>
      </c>
    </row>
    <row r="69" spans="2:27" ht="14.25" customHeight="1" x14ac:dyDescent="0.25"/>
    <row r="70" spans="2:27" ht="15" customHeight="1" x14ac:dyDescent="0.25">
      <c r="B70" s="288" t="s">
        <v>120</v>
      </c>
      <c r="C70" s="288"/>
      <c r="D70" s="288"/>
      <c r="E70" s="288"/>
      <c r="F70" s="288"/>
      <c r="G70" s="288"/>
      <c r="H70" s="288"/>
      <c r="I70" s="288"/>
      <c r="J70" s="288"/>
      <c r="K70" s="288"/>
      <c r="L70" s="288"/>
      <c r="M70" s="288"/>
      <c r="N70" s="288"/>
      <c r="O70" s="288"/>
      <c r="P70" s="288"/>
    </row>
    <row r="71" spans="2:27" x14ac:dyDescent="0.25">
      <c r="B71" s="213"/>
      <c r="C71" s="215" t="s">
        <v>50</v>
      </c>
      <c r="D71" s="215" t="s">
        <v>51</v>
      </c>
      <c r="E71" s="215" t="s">
        <v>52</v>
      </c>
      <c r="F71" s="215" t="s">
        <v>53</v>
      </c>
      <c r="G71" s="215" t="s">
        <v>54</v>
      </c>
      <c r="H71" s="215" t="s">
        <v>55</v>
      </c>
      <c r="I71" s="215" t="s">
        <v>56</v>
      </c>
      <c r="J71" s="215" t="s">
        <v>57</v>
      </c>
      <c r="K71" s="215" t="s">
        <v>58</v>
      </c>
      <c r="L71" s="215" t="s">
        <v>59</v>
      </c>
      <c r="M71" s="215" t="s">
        <v>60</v>
      </c>
      <c r="N71" s="215" t="s">
        <v>61</v>
      </c>
      <c r="O71" s="220" t="s">
        <v>62</v>
      </c>
      <c r="P71" s="221"/>
      <c r="S71" s="228" t="s">
        <v>63</v>
      </c>
      <c r="T71" s="229"/>
      <c r="V71" s="223" t="s">
        <v>228</v>
      </c>
      <c r="W71" s="224"/>
      <c r="X71" s="224"/>
      <c r="Y71" s="224"/>
      <c r="Z71" s="224"/>
      <c r="AA71" s="224"/>
    </row>
    <row r="72" spans="2:27" ht="30" x14ac:dyDescent="0.25">
      <c r="B72" s="214"/>
      <c r="C72" s="216"/>
      <c r="D72" s="216"/>
      <c r="E72" s="216"/>
      <c r="F72" s="216"/>
      <c r="G72" s="216"/>
      <c r="H72" s="216"/>
      <c r="I72" s="216"/>
      <c r="J72" s="216"/>
      <c r="K72" s="216"/>
      <c r="L72" s="216"/>
      <c r="M72" s="216"/>
      <c r="N72" s="216"/>
      <c r="O72" s="58" t="s">
        <v>64</v>
      </c>
      <c r="P72" s="58" t="s">
        <v>65</v>
      </c>
      <c r="S72" s="143" t="s">
        <v>1</v>
      </c>
      <c r="T72" s="21">
        <f>P5</f>
        <v>63024</v>
      </c>
      <c r="V72" s="144" t="s">
        <v>2</v>
      </c>
      <c r="W72" s="145" t="s">
        <v>3</v>
      </c>
      <c r="X72" s="145" t="s">
        <v>4</v>
      </c>
      <c r="Y72" s="145" t="s">
        <v>5</v>
      </c>
      <c r="Z72" s="146" t="s">
        <v>6</v>
      </c>
      <c r="AA72" s="147" t="s">
        <v>5</v>
      </c>
    </row>
    <row r="73" spans="2:27" x14ac:dyDescent="0.25">
      <c r="B73" s="35" t="s">
        <v>121</v>
      </c>
      <c r="C73" s="35">
        <f t="shared" ref="C73:N73" si="35">C8</f>
        <v>81151.199999999997</v>
      </c>
      <c r="D73" s="35">
        <f t="shared" si="35"/>
        <v>6302.4</v>
      </c>
      <c r="E73" s="35">
        <f t="shared" si="35"/>
        <v>6302.4</v>
      </c>
      <c r="F73" s="35">
        <f t="shared" si="35"/>
        <v>6302.4</v>
      </c>
      <c r="G73" s="35">
        <f t="shared" si="35"/>
        <v>6302.4</v>
      </c>
      <c r="H73" s="35">
        <f t="shared" si="35"/>
        <v>6302.4</v>
      </c>
      <c r="I73" s="35">
        <f t="shared" si="35"/>
        <v>6302.4</v>
      </c>
      <c r="J73" s="34">
        <f t="shared" si="35"/>
        <v>6302.4</v>
      </c>
      <c r="K73" s="35">
        <f t="shared" si="35"/>
        <v>6302.4</v>
      </c>
      <c r="L73" s="35">
        <f t="shared" si="35"/>
        <v>6302.4</v>
      </c>
      <c r="M73" s="35">
        <f t="shared" si="35"/>
        <v>6302.4</v>
      </c>
      <c r="N73" s="35">
        <f t="shared" si="35"/>
        <v>6302.4</v>
      </c>
      <c r="O73" s="34"/>
      <c r="P73" s="34"/>
      <c r="S73" s="143" t="s">
        <v>67</v>
      </c>
      <c r="T73" s="21">
        <v>0</v>
      </c>
      <c r="V73" s="148" t="s">
        <v>8</v>
      </c>
      <c r="W73" s="148"/>
      <c r="X73" s="148">
        <f>X75+X74</f>
        <v>46600</v>
      </c>
      <c r="Y73" s="148"/>
      <c r="Z73" s="148" t="s">
        <v>9</v>
      </c>
      <c r="AA73" s="149"/>
    </row>
    <row r="74" spans="2:27" ht="30" x14ac:dyDescent="0.25">
      <c r="B74" s="34" t="s">
        <v>122</v>
      </c>
      <c r="C74" s="34"/>
      <c r="D74" s="34"/>
      <c r="E74" s="34">
        <f>E9</f>
        <v>30000</v>
      </c>
      <c r="F74" s="34"/>
      <c r="G74" s="34"/>
      <c r="H74" s="34">
        <v>1500</v>
      </c>
      <c r="I74" s="34"/>
      <c r="J74" s="34"/>
      <c r="K74" s="34"/>
      <c r="L74" s="34"/>
      <c r="M74" s="34"/>
      <c r="N74" s="34"/>
      <c r="O74" s="34"/>
      <c r="P74" s="34"/>
      <c r="S74" s="144" t="s">
        <v>10</v>
      </c>
      <c r="T74" s="131">
        <f>T72+T73</f>
        <v>63024</v>
      </c>
      <c r="V74" s="150" t="s">
        <v>11</v>
      </c>
      <c r="W74" s="150">
        <f>'Bilan et CDR N'!G7</f>
        <v>159000</v>
      </c>
      <c r="X74" s="150">
        <f>'Bilan et CDR N'!H7+P31*0.75</f>
        <v>14125</v>
      </c>
      <c r="Y74" s="150">
        <f>W74-X74</f>
        <v>144875</v>
      </c>
      <c r="Z74" s="150" t="s">
        <v>12</v>
      </c>
      <c r="AA74" s="151">
        <f>'Bilan et CDR N'!K7+'Hyp | 2 ans + CB + Comptant'!P9</f>
        <v>80000</v>
      </c>
    </row>
    <row r="75" spans="2:27" x14ac:dyDescent="0.25">
      <c r="B75" s="59" t="s">
        <v>123</v>
      </c>
      <c r="C75" s="59">
        <f t="shared" ref="C75:N75" si="36">C74+C73</f>
        <v>81151.199999999997</v>
      </c>
      <c r="D75" s="59">
        <f t="shared" si="36"/>
        <v>6302.4</v>
      </c>
      <c r="E75" s="59">
        <f t="shared" si="36"/>
        <v>36302.400000000001</v>
      </c>
      <c r="F75" s="59">
        <f t="shared" si="36"/>
        <v>6302.4</v>
      </c>
      <c r="G75" s="59">
        <f t="shared" si="36"/>
        <v>6302.4</v>
      </c>
      <c r="H75" s="59">
        <f t="shared" si="36"/>
        <v>7802.4</v>
      </c>
      <c r="I75" s="59">
        <f t="shared" si="36"/>
        <v>6302.4</v>
      </c>
      <c r="J75" s="59">
        <f t="shared" si="36"/>
        <v>6302.4</v>
      </c>
      <c r="K75" s="59">
        <f t="shared" si="36"/>
        <v>6302.4</v>
      </c>
      <c r="L75" s="59">
        <f t="shared" si="36"/>
        <v>6302.4</v>
      </c>
      <c r="M75" s="59">
        <f t="shared" si="36"/>
        <v>6302.4</v>
      </c>
      <c r="N75" s="59">
        <f t="shared" si="36"/>
        <v>6302.4</v>
      </c>
      <c r="O75" s="34"/>
      <c r="P75" s="34"/>
      <c r="S75" s="143" t="s">
        <v>70</v>
      </c>
      <c r="T75" s="21">
        <f>P14</f>
        <v>18907.2</v>
      </c>
      <c r="V75" s="150" t="s">
        <v>14</v>
      </c>
      <c r="W75" s="150">
        <f>P52+'Bilan et CDR N'!G8</f>
        <v>55000</v>
      </c>
      <c r="X75" s="150">
        <f>'Bilan et CDR N'!H8+P31*0.25</f>
        <v>32475</v>
      </c>
      <c r="Y75" s="150">
        <f>W75-X75</f>
        <v>22525</v>
      </c>
      <c r="Z75" s="150" t="s">
        <v>15</v>
      </c>
      <c r="AA75" s="151">
        <f>'Bilan et CDR N'!K8</f>
        <v>5000</v>
      </c>
    </row>
    <row r="76" spans="2:27" x14ac:dyDescent="0.25">
      <c r="B76" s="39" t="s">
        <v>124</v>
      </c>
      <c r="C76" s="41">
        <f t="shared" ref="C76:N76" si="37">C17</f>
        <v>25390.720000000001</v>
      </c>
      <c r="D76" s="41">
        <f t="shared" si="37"/>
        <v>1890.7199999999998</v>
      </c>
      <c r="E76" s="41">
        <f t="shared" si="37"/>
        <v>1890.7199999999998</v>
      </c>
      <c r="F76" s="41">
        <f t="shared" si="37"/>
        <v>1890.7199999999998</v>
      </c>
      <c r="G76" s="41">
        <f t="shared" si="37"/>
        <v>1890.7199999999998</v>
      </c>
      <c r="H76" s="41">
        <f t="shared" si="37"/>
        <v>1890.7199999999998</v>
      </c>
      <c r="I76" s="41">
        <f t="shared" si="37"/>
        <v>1890.7199999999998</v>
      </c>
      <c r="J76" s="41">
        <f t="shared" si="37"/>
        <v>1890.7199999999998</v>
      </c>
      <c r="K76" s="41">
        <f t="shared" si="37"/>
        <v>1890.7199999999998</v>
      </c>
      <c r="L76" s="41">
        <f t="shared" si="37"/>
        <v>1890.7199999999998</v>
      </c>
      <c r="M76" s="41">
        <f t="shared" si="37"/>
        <v>1890.7199999999998</v>
      </c>
      <c r="N76" s="41">
        <f t="shared" si="37"/>
        <v>1890.7199999999998</v>
      </c>
      <c r="O76" s="34"/>
      <c r="P76" s="34"/>
      <c r="S76" s="143" t="s">
        <v>73</v>
      </c>
      <c r="T76" s="21">
        <f>P23+P25</f>
        <v>88896.428571428565</v>
      </c>
      <c r="V76" s="148"/>
      <c r="W76" s="148"/>
      <c r="X76" s="148"/>
      <c r="Y76" s="148"/>
      <c r="Z76" s="150" t="s">
        <v>17</v>
      </c>
      <c r="AA76" s="151">
        <f>'Bilan et CDR N'!K9+'Bilan et CDR N'!C23</f>
        <v>22728</v>
      </c>
    </row>
    <row r="77" spans="2:27" x14ac:dyDescent="0.25">
      <c r="B77" s="39" t="s">
        <v>125</v>
      </c>
      <c r="C77" s="41">
        <f>'Bilan et CDR N'!$K$16/12</f>
        <v>375</v>
      </c>
      <c r="D77" s="41">
        <f>'Bilan et CDR N'!$K$16/12</f>
        <v>375</v>
      </c>
      <c r="E77" s="41">
        <f>'Bilan et CDR N'!$K$16/12</f>
        <v>375</v>
      </c>
      <c r="F77" s="41">
        <f>'Bilan et CDR N'!$K$16/12</f>
        <v>375</v>
      </c>
      <c r="G77" s="41">
        <f>'Bilan et CDR N'!$K$16/12</f>
        <v>375</v>
      </c>
      <c r="H77" s="41">
        <f>'Bilan et CDR N'!$K$16/12</f>
        <v>375</v>
      </c>
      <c r="I77" s="41">
        <f>'Bilan et CDR N'!$K$16/12</f>
        <v>375</v>
      </c>
      <c r="J77" s="41">
        <f>'Bilan et CDR N'!$K$16/12</f>
        <v>375</v>
      </c>
      <c r="K77" s="41">
        <f>'Bilan et CDR N'!$K$16/12</f>
        <v>375</v>
      </c>
      <c r="L77" s="41">
        <f>'Bilan et CDR N'!$K$16/12</f>
        <v>375</v>
      </c>
      <c r="M77" s="41">
        <f>'Bilan et CDR N'!$K$16/12</f>
        <v>375</v>
      </c>
      <c r="N77" s="41">
        <f>'Bilan et CDR N'!$K$16/12</f>
        <v>375</v>
      </c>
      <c r="O77" s="34"/>
      <c r="P77" s="34"/>
      <c r="S77" s="143" t="s">
        <v>18</v>
      </c>
      <c r="T77" s="21">
        <f>P41</f>
        <v>8200</v>
      </c>
      <c r="V77" s="150"/>
      <c r="W77" s="150"/>
      <c r="X77" s="150"/>
      <c r="Y77" s="150"/>
      <c r="Z77" s="150" t="s">
        <v>19</v>
      </c>
      <c r="AA77" s="151">
        <f>T89</f>
        <v>-495179.62857142859</v>
      </c>
    </row>
    <row r="78" spans="2:27" x14ac:dyDescent="0.25">
      <c r="B78" s="39" t="s">
        <v>126</v>
      </c>
      <c r="C78" s="41">
        <f t="shared" ref="C78:N78" si="38">C33</f>
        <v>25625</v>
      </c>
      <c r="D78" s="41">
        <f t="shared" si="38"/>
        <v>25625</v>
      </c>
      <c r="E78" s="41">
        <f t="shared" si="38"/>
        <v>25625</v>
      </c>
      <c r="F78" s="41">
        <f t="shared" si="38"/>
        <v>25625</v>
      </c>
      <c r="G78" s="41">
        <f t="shared" si="38"/>
        <v>25625</v>
      </c>
      <c r="H78" s="41">
        <f t="shared" si="38"/>
        <v>25625</v>
      </c>
      <c r="I78" s="41">
        <f t="shared" si="38"/>
        <v>25625</v>
      </c>
      <c r="J78" s="41">
        <f t="shared" si="38"/>
        <v>25625</v>
      </c>
      <c r="K78" s="41">
        <f t="shared" si="38"/>
        <v>25625</v>
      </c>
      <c r="L78" s="41">
        <f t="shared" si="38"/>
        <v>25625</v>
      </c>
      <c r="M78" s="41">
        <f t="shared" si="38"/>
        <v>25625</v>
      </c>
      <c r="N78" s="41">
        <f t="shared" si="38"/>
        <v>25625</v>
      </c>
      <c r="O78" s="34"/>
      <c r="P78" s="34"/>
      <c r="S78" s="143" t="s">
        <v>20</v>
      </c>
      <c r="T78" s="21">
        <f>P33</f>
        <v>307500</v>
      </c>
      <c r="V78" s="152"/>
      <c r="W78" s="153"/>
      <c r="Y78" s="153"/>
      <c r="Z78" s="151"/>
      <c r="AA78" s="149"/>
    </row>
    <row r="79" spans="2:27" x14ac:dyDescent="0.25">
      <c r="B79" s="39" t="s">
        <v>21</v>
      </c>
      <c r="C79" s="41">
        <f t="shared" ref="C79:N79" si="39">C35</f>
        <v>16000</v>
      </c>
      <c r="D79" s="41">
        <f t="shared" si="39"/>
        <v>10250</v>
      </c>
      <c r="E79" s="41">
        <f t="shared" si="39"/>
        <v>10250</v>
      </c>
      <c r="F79" s="41">
        <f t="shared" si="39"/>
        <v>10250</v>
      </c>
      <c r="G79" s="41">
        <f t="shared" si="39"/>
        <v>10250</v>
      </c>
      <c r="H79" s="41">
        <f t="shared" si="39"/>
        <v>10250</v>
      </c>
      <c r="I79" s="41">
        <f t="shared" si="39"/>
        <v>10250</v>
      </c>
      <c r="J79" s="41">
        <f t="shared" si="39"/>
        <v>10250</v>
      </c>
      <c r="K79" s="41">
        <f t="shared" si="39"/>
        <v>10250</v>
      </c>
      <c r="L79" s="41">
        <f t="shared" si="39"/>
        <v>10250</v>
      </c>
      <c r="M79" s="41">
        <f t="shared" si="39"/>
        <v>10250</v>
      </c>
      <c r="N79" s="41">
        <f t="shared" si="39"/>
        <v>10250</v>
      </c>
      <c r="O79" s="34"/>
      <c r="P79" s="34"/>
      <c r="S79" s="143" t="s">
        <v>21</v>
      </c>
      <c r="T79" s="21">
        <f>P34</f>
        <v>123000</v>
      </c>
      <c r="V79" s="148" t="s">
        <v>22</v>
      </c>
      <c r="W79" s="148"/>
      <c r="X79" s="148"/>
      <c r="Y79" s="148"/>
      <c r="Z79" s="148" t="s">
        <v>23</v>
      </c>
      <c r="AA79" s="149"/>
    </row>
    <row r="80" spans="2:27" ht="30" x14ac:dyDescent="0.25">
      <c r="B80" s="39" t="s">
        <v>102</v>
      </c>
      <c r="C80" s="41">
        <f t="shared" ref="C80:N80" si="40">C42</f>
        <v>0</v>
      </c>
      <c r="D80" s="41">
        <f t="shared" si="40"/>
        <v>0</v>
      </c>
      <c r="E80" s="41">
        <f t="shared" si="40"/>
        <v>0</v>
      </c>
      <c r="F80" s="41">
        <f t="shared" si="40"/>
        <v>0</v>
      </c>
      <c r="G80" s="41">
        <f t="shared" si="40"/>
        <v>0</v>
      </c>
      <c r="H80" s="41">
        <f t="shared" si="40"/>
        <v>0</v>
      </c>
      <c r="I80" s="41">
        <f t="shared" si="40"/>
        <v>0</v>
      </c>
      <c r="J80" s="41">
        <f t="shared" si="40"/>
        <v>0</v>
      </c>
      <c r="K80" s="41">
        <f t="shared" si="40"/>
        <v>0</v>
      </c>
      <c r="L80" s="41">
        <f t="shared" si="40"/>
        <v>8200</v>
      </c>
      <c r="M80" s="41">
        <f t="shared" si="40"/>
        <v>0</v>
      </c>
      <c r="N80" s="41">
        <f t="shared" si="40"/>
        <v>0</v>
      </c>
      <c r="O80" s="34"/>
      <c r="P80" s="34"/>
      <c r="S80" s="143" t="s">
        <v>75</v>
      </c>
      <c r="T80" s="21">
        <f>P31</f>
        <v>7500</v>
      </c>
      <c r="V80" s="150" t="s">
        <v>25</v>
      </c>
      <c r="W80" s="150">
        <f>'Bilan et CDR N'!G13</f>
        <v>15000</v>
      </c>
      <c r="X80" s="150"/>
      <c r="Y80" s="150">
        <f>W80</f>
        <v>15000</v>
      </c>
      <c r="Z80" s="150" t="s">
        <v>26</v>
      </c>
      <c r="AA80" s="151">
        <f>'Bilan et CDR N'!K13-P44</f>
        <v>60000</v>
      </c>
    </row>
    <row r="81" spans="2:27" x14ac:dyDescent="0.25">
      <c r="B81" s="39" t="s">
        <v>127</v>
      </c>
      <c r="C81" s="41">
        <f t="shared" ref="C81:N81" si="41">C28</f>
        <v>8889.6428571428569</v>
      </c>
      <c r="D81" s="41">
        <f t="shared" si="41"/>
        <v>8889.6428571428569</v>
      </c>
      <c r="E81" s="41">
        <f t="shared" si="41"/>
        <v>8889.6428571428569</v>
      </c>
      <c r="F81" s="41">
        <f t="shared" si="41"/>
        <v>8889.6428571428569</v>
      </c>
      <c r="G81" s="41">
        <f t="shared" si="41"/>
        <v>8889.6428571428569</v>
      </c>
      <c r="H81" s="41">
        <f t="shared" si="41"/>
        <v>8889.6428571428569</v>
      </c>
      <c r="I81" s="41">
        <f t="shared" si="41"/>
        <v>8889.6428571428569</v>
      </c>
      <c r="J81" s="41">
        <f t="shared" si="41"/>
        <v>8889.6428571428569</v>
      </c>
      <c r="K81" s="41">
        <f t="shared" si="41"/>
        <v>8889.6428571428569</v>
      </c>
      <c r="L81" s="41">
        <f t="shared" si="41"/>
        <v>8889.6428571428569</v>
      </c>
      <c r="M81" s="41">
        <f t="shared" si="41"/>
        <v>8889.6428571428569</v>
      </c>
      <c r="N81" s="41">
        <f t="shared" si="41"/>
        <v>8889.6428571428569</v>
      </c>
      <c r="O81" s="34"/>
      <c r="P81" s="34"/>
      <c r="S81" s="144" t="s">
        <v>76</v>
      </c>
      <c r="T81" s="131">
        <f>SUM(T75:T80)</f>
        <v>554003.62857142859</v>
      </c>
      <c r="V81" s="150" t="s">
        <v>28</v>
      </c>
      <c r="W81" s="150">
        <f>P8</f>
        <v>3151.2</v>
      </c>
      <c r="X81" s="150"/>
      <c r="Y81" s="150">
        <f>W81</f>
        <v>3151.2</v>
      </c>
      <c r="Z81" s="150" t="s">
        <v>29</v>
      </c>
      <c r="AA81" s="151">
        <f>P17</f>
        <v>0</v>
      </c>
    </row>
    <row r="82" spans="2:27" x14ac:dyDescent="0.25">
      <c r="B82" s="39" t="s">
        <v>128</v>
      </c>
      <c r="C82" s="41">
        <f t="shared" ref="C82:N82" si="42">C46</f>
        <v>5350</v>
      </c>
      <c r="D82" s="41">
        <f t="shared" si="42"/>
        <v>5350</v>
      </c>
      <c r="E82" s="41">
        <f t="shared" si="42"/>
        <v>5350</v>
      </c>
      <c r="F82" s="41">
        <f t="shared" si="42"/>
        <v>5350</v>
      </c>
      <c r="G82" s="41">
        <f t="shared" si="42"/>
        <v>5350</v>
      </c>
      <c r="H82" s="41">
        <f t="shared" si="42"/>
        <v>5350</v>
      </c>
      <c r="I82" s="41">
        <f t="shared" si="42"/>
        <v>5350</v>
      </c>
      <c r="J82" s="41">
        <f t="shared" si="42"/>
        <v>5350</v>
      </c>
      <c r="K82" s="41">
        <f t="shared" si="42"/>
        <v>5350</v>
      </c>
      <c r="L82" s="41">
        <f t="shared" si="42"/>
        <v>5350</v>
      </c>
      <c r="M82" s="41">
        <f t="shared" si="42"/>
        <v>5350</v>
      </c>
      <c r="N82" s="41">
        <f t="shared" si="42"/>
        <v>5350</v>
      </c>
      <c r="O82" s="34"/>
      <c r="P82" s="34"/>
      <c r="S82" s="154" t="s">
        <v>30</v>
      </c>
      <c r="T82" s="155">
        <f>T74-T81</f>
        <v>-490979.62857142859</v>
      </c>
      <c r="V82" s="150" t="s">
        <v>34</v>
      </c>
      <c r="W82" s="150">
        <f>AE60</f>
        <v>-483236.15571428568</v>
      </c>
      <c r="X82" s="150"/>
      <c r="Y82" s="150">
        <f>W82</f>
        <v>-483236.15571428568</v>
      </c>
      <c r="Z82" s="150" t="s">
        <v>32</v>
      </c>
      <c r="AA82" s="151">
        <f>P67+P35</f>
        <v>9503.6728571428575</v>
      </c>
    </row>
    <row r="83" spans="2:27" x14ac:dyDescent="0.25">
      <c r="B83" s="39" t="s">
        <v>129</v>
      </c>
      <c r="C83" s="41">
        <f t="shared" ref="C83:N83" si="43">C54</f>
        <v>0</v>
      </c>
      <c r="D83" s="41">
        <f t="shared" si="43"/>
        <v>0</v>
      </c>
      <c r="E83" s="41">
        <f t="shared" si="43"/>
        <v>0</v>
      </c>
      <c r="F83" s="41">
        <f t="shared" si="43"/>
        <v>0</v>
      </c>
      <c r="G83" s="41">
        <f t="shared" si="43"/>
        <v>0</v>
      </c>
      <c r="H83" s="41">
        <f t="shared" si="43"/>
        <v>0</v>
      </c>
      <c r="I83" s="41">
        <f t="shared" si="43"/>
        <v>0</v>
      </c>
      <c r="J83" s="41">
        <f t="shared" si="43"/>
        <v>0</v>
      </c>
      <c r="K83" s="41">
        <f t="shared" si="43"/>
        <v>0</v>
      </c>
      <c r="L83" s="41">
        <f t="shared" si="43"/>
        <v>0</v>
      </c>
      <c r="M83" s="41">
        <f t="shared" si="43"/>
        <v>0</v>
      </c>
      <c r="N83" s="41">
        <f t="shared" si="43"/>
        <v>0</v>
      </c>
      <c r="O83" s="34"/>
      <c r="P83" s="34"/>
      <c r="S83" s="144" t="s">
        <v>33</v>
      </c>
      <c r="T83" s="131">
        <v>0</v>
      </c>
      <c r="V83" s="150"/>
      <c r="W83" s="150"/>
      <c r="X83" s="150"/>
      <c r="Y83" s="150"/>
      <c r="Z83" s="150" t="s">
        <v>221</v>
      </c>
      <c r="AA83" s="151">
        <f>SUM(T53:AE53)</f>
        <v>1241</v>
      </c>
    </row>
    <row r="84" spans="2:27" x14ac:dyDescent="0.25">
      <c r="B84" s="39" t="s">
        <v>130</v>
      </c>
      <c r="C84" s="41">
        <f t="shared" ref="C84:N84" si="44">C67</f>
        <v>15000</v>
      </c>
      <c r="D84" s="41">
        <f t="shared" si="44"/>
        <v>-746.32714285714292</v>
      </c>
      <c r="E84" s="41">
        <f t="shared" si="44"/>
        <v>-746.32714285714292</v>
      </c>
      <c r="F84" s="41">
        <f t="shared" si="44"/>
        <v>-746.32714285714292</v>
      </c>
      <c r="G84" s="41">
        <f t="shared" si="44"/>
        <v>-746.32714285714292</v>
      </c>
      <c r="H84" s="41">
        <f t="shared" si="44"/>
        <v>-746.32714285714292</v>
      </c>
      <c r="I84" s="41">
        <f t="shared" si="44"/>
        <v>-746.32714285714292</v>
      </c>
      <c r="J84" s="41">
        <f t="shared" si="44"/>
        <v>-746.32714285714292</v>
      </c>
      <c r="K84" s="41">
        <f t="shared" si="44"/>
        <v>-746.32714285714292</v>
      </c>
      <c r="L84" s="41">
        <f t="shared" si="44"/>
        <v>-746.32714285714292</v>
      </c>
      <c r="M84" s="41">
        <f t="shared" si="44"/>
        <v>-746.32714285714292</v>
      </c>
      <c r="N84" s="41">
        <f t="shared" si="44"/>
        <v>-746.32714285714292</v>
      </c>
      <c r="O84" s="34"/>
      <c r="P84" s="34"/>
      <c r="S84" s="143" t="s">
        <v>36</v>
      </c>
      <c r="T84" s="21">
        <f>P43+SUM(T56:AE56)</f>
        <v>4200</v>
      </c>
      <c r="V84" s="156" t="s">
        <v>38</v>
      </c>
      <c r="W84" s="156">
        <f>SUM(W74:W82)</f>
        <v>-251084.95571428566</v>
      </c>
      <c r="X84" s="156"/>
      <c r="Y84" s="156">
        <f>SUM(Y74:Y83)</f>
        <v>-297684.95571428566</v>
      </c>
      <c r="Z84" s="156" t="s">
        <v>39</v>
      </c>
      <c r="AA84" s="157">
        <f>SUM(AA74:AA83)</f>
        <v>-316706.95571428572</v>
      </c>
    </row>
    <row r="85" spans="2:27" x14ac:dyDescent="0.25">
      <c r="B85" s="59" t="s">
        <v>131</v>
      </c>
      <c r="C85" s="59">
        <f t="shared" ref="C85:N85" si="45">SUM(C76:C84)</f>
        <v>96630.362857142856</v>
      </c>
      <c r="D85" s="59">
        <f t="shared" si="45"/>
        <v>51634.03571428571</v>
      </c>
      <c r="E85" s="59">
        <f t="shared" si="45"/>
        <v>51634.03571428571</v>
      </c>
      <c r="F85" s="59">
        <f t="shared" si="45"/>
        <v>51634.03571428571</v>
      </c>
      <c r="G85" s="59">
        <f t="shared" si="45"/>
        <v>51634.03571428571</v>
      </c>
      <c r="H85" s="59">
        <f t="shared" si="45"/>
        <v>51634.03571428571</v>
      </c>
      <c r="I85" s="59">
        <f t="shared" si="45"/>
        <v>51634.03571428571</v>
      </c>
      <c r="J85" s="59">
        <f t="shared" si="45"/>
        <v>51634.03571428571</v>
      </c>
      <c r="K85" s="59">
        <f t="shared" si="45"/>
        <v>51634.03571428571</v>
      </c>
      <c r="L85" s="59">
        <f t="shared" si="45"/>
        <v>59834.03571428571</v>
      </c>
      <c r="M85" s="59">
        <f t="shared" si="45"/>
        <v>51634.03571428571</v>
      </c>
      <c r="N85" s="59">
        <f t="shared" si="45"/>
        <v>51634.03571428571</v>
      </c>
      <c r="O85" s="34"/>
      <c r="P85" s="34"/>
      <c r="S85" s="144" t="s">
        <v>37</v>
      </c>
      <c r="T85" s="131">
        <f>T84</f>
        <v>4200</v>
      </c>
      <c r="Z85" s="158" t="s">
        <v>42</v>
      </c>
      <c r="AA85" s="159">
        <f>Y84-AA84</f>
        <v>19022.000000000058</v>
      </c>
    </row>
    <row r="86" spans="2:27" x14ac:dyDescent="0.25">
      <c r="B86" s="59" t="s">
        <v>132</v>
      </c>
      <c r="C86" s="59">
        <f>'Bilan et CDR N'!I16</f>
        <v>6350</v>
      </c>
      <c r="D86" s="59">
        <f t="shared" ref="D86:N86" si="46">C88</f>
        <v>-9129.1628571428591</v>
      </c>
      <c r="E86" s="59">
        <f t="shared" si="46"/>
        <v>-54460.798571428568</v>
      </c>
      <c r="F86" s="59">
        <f t="shared" si="46"/>
        <v>-69792.434285714276</v>
      </c>
      <c r="G86" s="59">
        <f t="shared" si="46"/>
        <v>-115124.06999999998</v>
      </c>
      <c r="H86" s="59">
        <f t="shared" si="46"/>
        <v>-160455.70571428569</v>
      </c>
      <c r="I86" s="59">
        <f t="shared" si="46"/>
        <v>-204287.34142857141</v>
      </c>
      <c r="J86" s="59">
        <f t="shared" si="46"/>
        <v>-249618.97714285713</v>
      </c>
      <c r="K86" s="59">
        <f t="shared" si="46"/>
        <v>-294950.61285714281</v>
      </c>
      <c r="L86" s="59">
        <f t="shared" si="46"/>
        <v>-340282.24857142853</v>
      </c>
      <c r="M86" s="59">
        <f t="shared" si="46"/>
        <v>-393813.88428571424</v>
      </c>
      <c r="N86" s="59">
        <f t="shared" si="46"/>
        <v>-439145.51999999996</v>
      </c>
      <c r="O86" s="34"/>
      <c r="P86" s="34"/>
      <c r="S86" s="154" t="s">
        <v>40</v>
      </c>
      <c r="T86" s="155">
        <f>T83-T85</f>
        <v>-4200</v>
      </c>
    </row>
    <row r="87" spans="2:27" x14ac:dyDescent="0.25">
      <c r="B87" s="34" t="s">
        <v>133</v>
      </c>
      <c r="C87" s="34">
        <f t="shared" ref="C87:N87" si="47">C75-C85</f>
        <v>-15479.162857142859</v>
      </c>
      <c r="D87" s="34">
        <f t="shared" si="47"/>
        <v>-45331.635714285709</v>
      </c>
      <c r="E87" s="34">
        <f t="shared" si="47"/>
        <v>-15331.635714285709</v>
      </c>
      <c r="F87" s="34">
        <f t="shared" si="47"/>
        <v>-45331.635714285709</v>
      </c>
      <c r="G87" s="34">
        <f t="shared" si="47"/>
        <v>-45331.635714285709</v>
      </c>
      <c r="H87" s="34">
        <f t="shared" si="47"/>
        <v>-43831.635714285709</v>
      </c>
      <c r="I87" s="34">
        <f t="shared" si="47"/>
        <v>-45331.635714285709</v>
      </c>
      <c r="J87" s="34">
        <f t="shared" si="47"/>
        <v>-45331.635714285709</v>
      </c>
      <c r="K87" s="34">
        <f t="shared" si="47"/>
        <v>-45331.635714285709</v>
      </c>
      <c r="L87" s="34">
        <f t="shared" si="47"/>
        <v>-53531.635714285709</v>
      </c>
      <c r="M87" s="34">
        <f t="shared" si="47"/>
        <v>-45331.635714285709</v>
      </c>
      <c r="N87" s="34">
        <f t="shared" si="47"/>
        <v>-45331.635714285709</v>
      </c>
      <c r="O87" s="34"/>
      <c r="P87" s="34"/>
      <c r="S87" s="154" t="s">
        <v>43</v>
      </c>
      <c r="T87" s="155">
        <f>T82-(-T86)</f>
        <v>-495179.62857142859</v>
      </c>
    </row>
    <row r="88" spans="2:27" x14ac:dyDescent="0.25">
      <c r="B88" s="59" t="s">
        <v>134</v>
      </c>
      <c r="C88" s="59">
        <f t="shared" ref="C88:N88" si="48">C86+C87</f>
        <v>-9129.1628571428591</v>
      </c>
      <c r="D88" s="59">
        <f t="shared" si="48"/>
        <v>-54460.798571428568</v>
      </c>
      <c r="E88" s="59">
        <f t="shared" si="48"/>
        <v>-69792.434285714276</v>
      </c>
      <c r="F88" s="59">
        <f t="shared" si="48"/>
        <v>-115124.06999999998</v>
      </c>
      <c r="G88" s="59">
        <f t="shared" si="48"/>
        <v>-160455.70571428569</v>
      </c>
      <c r="H88" s="59">
        <f t="shared" si="48"/>
        <v>-204287.34142857141</v>
      </c>
      <c r="I88" s="59">
        <f t="shared" si="48"/>
        <v>-249618.97714285713</v>
      </c>
      <c r="J88" s="59">
        <f t="shared" si="48"/>
        <v>-294950.61285714281</v>
      </c>
      <c r="K88" s="59">
        <f t="shared" si="48"/>
        <v>-340282.24857142853</v>
      </c>
      <c r="L88" s="59">
        <f t="shared" si="48"/>
        <v>-393813.88428571424</v>
      </c>
      <c r="M88" s="59">
        <f t="shared" si="48"/>
        <v>-439145.51999999996</v>
      </c>
      <c r="N88" s="59">
        <f t="shared" si="48"/>
        <v>-484477.15571428568</v>
      </c>
      <c r="O88" s="60" t="s">
        <v>135</v>
      </c>
      <c r="P88" s="61">
        <f>N88</f>
        <v>-484477.15571428568</v>
      </c>
      <c r="S88" s="154" t="s">
        <v>45</v>
      </c>
      <c r="T88" s="21"/>
    </row>
    <row r="89" spans="2:27" x14ac:dyDescent="0.25">
      <c r="S89" s="160" t="s">
        <v>47</v>
      </c>
      <c r="T89" s="161">
        <f>T87</f>
        <v>-495179.62857142859</v>
      </c>
    </row>
    <row r="92" spans="2:27" ht="28.5" x14ac:dyDescent="0.45">
      <c r="B92" s="289" t="s">
        <v>136</v>
      </c>
      <c r="C92" s="289"/>
      <c r="D92" s="289"/>
      <c r="E92" s="289"/>
      <c r="F92" s="289"/>
      <c r="G92" s="289"/>
      <c r="H92" s="289"/>
      <c r="I92" s="289"/>
      <c r="J92" s="289"/>
      <c r="K92" s="289"/>
      <c r="L92" s="289"/>
      <c r="M92" s="289"/>
      <c r="N92" s="289"/>
      <c r="O92" s="289"/>
      <c r="P92" s="289"/>
    </row>
    <row r="94" spans="2:27" ht="15" customHeight="1" x14ac:dyDescent="0.25"/>
    <row r="95" spans="2:27" x14ac:dyDescent="0.25">
      <c r="B95" s="288" t="s">
        <v>137</v>
      </c>
      <c r="C95" s="288"/>
      <c r="D95" s="288"/>
      <c r="E95" s="288"/>
      <c r="F95" s="288"/>
      <c r="G95" s="288"/>
      <c r="H95" s="288"/>
      <c r="I95" s="288"/>
      <c r="J95" s="288"/>
      <c r="K95" s="288"/>
      <c r="L95" s="288"/>
      <c r="M95" s="288"/>
      <c r="N95" s="288"/>
      <c r="O95" s="288"/>
      <c r="P95" s="288"/>
    </row>
    <row r="96" spans="2:27" x14ac:dyDescent="0.25">
      <c r="B96" s="213"/>
      <c r="C96" s="215" t="s">
        <v>50</v>
      </c>
      <c r="D96" s="215" t="s">
        <v>51</v>
      </c>
      <c r="E96" s="215" t="s">
        <v>52</v>
      </c>
      <c r="F96" s="215" t="s">
        <v>53</v>
      </c>
      <c r="G96" s="215" t="s">
        <v>54</v>
      </c>
      <c r="H96" s="215" t="s">
        <v>55</v>
      </c>
      <c r="I96" s="215" t="s">
        <v>56</v>
      </c>
      <c r="J96" s="215" t="s">
        <v>57</v>
      </c>
      <c r="K96" s="215" t="s">
        <v>58</v>
      </c>
      <c r="L96" s="215" t="s">
        <v>59</v>
      </c>
      <c r="M96" s="215" t="s">
        <v>60</v>
      </c>
      <c r="N96" s="215" t="s">
        <v>61</v>
      </c>
      <c r="O96" s="220" t="s">
        <v>62</v>
      </c>
      <c r="P96" s="221"/>
    </row>
    <row r="97" spans="2:16" x14ac:dyDescent="0.25">
      <c r="B97" s="214"/>
      <c r="C97" s="216"/>
      <c r="D97" s="216"/>
      <c r="E97" s="216"/>
      <c r="F97" s="216"/>
      <c r="G97" s="216"/>
      <c r="H97" s="216"/>
      <c r="I97" s="216"/>
      <c r="J97" s="216"/>
      <c r="K97" s="216"/>
      <c r="L97" s="216"/>
      <c r="M97" s="216"/>
      <c r="N97" s="216"/>
      <c r="O97" s="58" t="s">
        <v>64</v>
      </c>
      <c r="P97" s="58" t="s">
        <v>65</v>
      </c>
    </row>
    <row r="98" spans="2:16" x14ac:dyDescent="0.25">
      <c r="B98" s="35" t="s">
        <v>66</v>
      </c>
      <c r="C98" s="35">
        <f>$P$5*1.03/12</f>
        <v>5409.56</v>
      </c>
      <c r="D98" s="35">
        <f t="shared" ref="D98:N98" si="49">$P$5*1.03/12</f>
        <v>5409.56</v>
      </c>
      <c r="E98" s="35">
        <f t="shared" si="49"/>
        <v>5409.56</v>
      </c>
      <c r="F98" s="35">
        <f t="shared" si="49"/>
        <v>5409.56</v>
      </c>
      <c r="G98" s="35">
        <f t="shared" si="49"/>
        <v>5409.56</v>
      </c>
      <c r="H98" s="35">
        <f t="shared" si="49"/>
        <v>5409.56</v>
      </c>
      <c r="I98" s="35">
        <f t="shared" si="49"/>
        <v>5409.56</v>
      </c>
      <c r="J98" s="35">
        <f t="shared" si="49"/>
        <v>5409.56</v>
      </c>
      <c r="K98" s="35">
        <f t="shared" si="49"/>
        <v>5409.56</v>
      </c>
      <c r="L98" s="35">
        <f t="shared" si="49"/>
        <v>5409.56</v>
      </c>
      <c r="M98" s="35">
        <f t="shared" si="49"/>
        <v>5409.56</v>
      </c>
      <c r="N98" s="35">
        <f t="shared" si="49"/>
        <v>5409.56</v>
      </c>
      <c r="O98" s="60" t="s">
        <v>1</v>
      </c>
      <c r="P98" s="61">
        <f>SUM(C98:N98)</f>
        <v>64914.719999999994</v>
      </c>
    </row>
    <row r="99" spans="2:16" x14ac:dyDescent="0.25">
      <c r="B99" s="34" t="s">
        <v>68</v>
      </c>
      <c r="C99" s="34">
        <f t="shared" ref="C99:N99" si="50">C98*20%</f>
        <v>1081.912</v>
      </c>
      <c r="D99" s="34">
        <f t="shared" si="50"/>
        <v>1081.912</v>
      </c>
      <c r="E99" s="34">
        <f t="shared" si="50"/>
        <v>1081.912</v>
      </c>
      <c r="F99" s="34">
        <f t="shared" si="50"/>
        <v>1081.912</v>
      </c>
      <c r="G99" s="34">
        <f t="shared" si="50"/>
        <v>1081.912</v>
      </c>
      <c r="H99" s="34">
        <f t="shared" si="50"/>
        <v>1081.912</v>
      </c>
      <c r="I99" s="34">
        <f t="shared" si="50"/>
        <v>1081.912</v>
      </c>
      <c r="J99" s="34">
        <f t="shared" si="50"/>
        <v>1081.912</v>
      </c>
      <c r="K99" s="34">
        <f t="shared" si="50"/>
        <v>1081.912</v>
      </c>
      <c r="L99" s="34">
        <f t="shared" si="50"/>
        <v>1081.912</v>
      </c>
      <c r="M99" s="34">
        <f t="shared" si="50"/>
        <v>1081.912</v>
      </c>
      <c r="N99" s="34">
        <f t="shared" si="50"/>
        <v>1081.912</v>
      </c>
      <c r="O99" s="34"/>
      <c r="P99" s="34"/>
    </row>
    <row r="100" spans="2:16" x14ac:dyDescent="0.25">
      <c r="B100" s="34" t="s">
        <v>69</v>
      </c>
      <c r="C100" s="34">
        <f t="shared" ref="C100:N100" si="51">C98+C99</f>
        <v>6491.4720000000007</v>
      </c>
      <c r="D100" s="34">
        <f t="shared" si="51"/>
        <v>6491.4720000000007</v>
      </c>
      <c r="E100" s="34">
        <f t="shared" si="51"/>
        <v>6491.4720000000007</v>
      </c>
      <c r="F100" s="34">
        <f t="shared" si="51"/>
        <v>6491.4720000000007</v>
      </c>
      <c r="G100" s="34">
        <f t="shared" si="51"/>
        <v>6491.4720000000007</v>
      </c>
      <c r="H100" s="34">
        <f t="shared" si="51"/>
        <v>6491.4720000000007</v>
      </c>
      <c r="I100" s="34">
        <f t="shared" si="51"/>
        <v>6491.4720000000007</v>
      </c>
      <c r="J100" s="34">
        <f t="shared" si="51"/>
        <v>6491.4720000000007</v>
      </c>
      <c r="K100" s="34">
        <f t="shared" si="51"/>
        <v>6491.4720000000007</v>
      </c>
      <c r="L100" s="34">
        <f t="shared" si="51"/>
        <v>6491.4720000000007</v>
      </c>
      <c r="M100" s="34">
        <f t="shared" si="51"/>
        <v>6491.4720000000007</v>
      </c>
      <c r="N100" s="34">
        <f t="shared" si="51"/>
        <v>6491.4720000000007</v>
      </c>
      <c r="O100" s="34"/>
      <c r="P100" s="34"/>
    </row>
    <row r="101" spans="2:16" x14ac:dyDescent="0.25">
      <c r="B101" s="59" t="s">
        <v>139</v>
      </c>
      <c r="C101" s="59">
        <f>P8+C100/2</f>
        <v>6396.9359999999997</v>
      </c>
      <c r="D101" s="59">
        <f t="shared" ref="D101:N101" si="52">C100/2+D100/2</f>
        <v>6491.4720000000007</v>
      </c>
      <c r="E101" s="59">
        <f t="shared" si="52"/>
        <v>6491.4720000000007</v>
      </c>
      <c r="F101" s="59">
        <f t="shared" si="52"/>
        <v>6491.4720000000007</v>
      </c>
      <c r="G101" s="59">
        <f t="shared" si="52"/>
        <v>6491.4720000000007</v>
      </c>
      <c r="H101" s="59">
        <f t="shared" si="52"/>
        <v>6491.4720000000007</v>
      </c>
      <c r="I101" s="59">
        <f t="shared" si="52"/>
        <v>6491.4720000000007</v>
      </c>
      <c r="J101" s="59">
        <f t="shared" si="52"/>
        <v>6491.4720000000007</v>
      </c>
      <c r="K101" s="59">
        <f t="shared" si="52"/>
        <v>6491.4720000000007</v>
      </c>
      <c r="L101" s="59">
        <f t="shared" si="52"/>
        <v>6491.4720000000007</v>
      </c>
      <c r="M101" s="59">
        <f t="shared" si="52"/>
        <v>6491.4720000000007</v>
      </c>
      <c r="N101" s="59">
        <f t="shared" si="52"/>
        <v>6491.4720000000007</v>
      </c>
      <c r="O101" s="60" t="s">
        <v>72</v>
      </c>
      <c r="P101" s="61">
        <f>N100/2</f>
        <v>3245.7360000000003</v>
      </c>
    </row>
    <row r="104" spans="2:16" x14ac:dyDescent="0.25">
      <c r="B104" s="288" t="s">
        <v>140</v>
      </c>
      <c r="C104" s="288"/>
      <c r="D104" s="288"/>
      <c r="E104" s="288"/>
      <c r="F104" s="288"/>
      <c r="G104" s="288"/>
      <c r="H104" s="288"/>
      <c r="I104" s="288"/>
      <c r="J104" s="288"/>
      <c r="K104" s="288"/>
      <c r="L104" s="288"/>
      <c r="M104" s="288"/>
      <c r="N104" s="288"/>
      <c r="O104" s="288"/>
      <c r="P104" s="288"/>
    </row>
    <row r="105" spans="2:16" x14ac:dyDescent="0.25">
      <c r="B105" s="213"/>
      <c r="C105" s="215" t="s">
        <v>50</v>
      </c>
      <c r="D105" s="215" t="s">
        <v>51</v>
      </c>
      <c r="E105" s="215" t="s">
        <v>52</v>
      </c>
      <c r="F105" s="215" t="s">
        <v>53</v>
      </c>
      <c r="G105" s="215" t="s">
        <v>54</v>
      </c>
      <c r="H105" s="215" t="s">
        <v>55</v>
      </c>
      <c r="I105" s="215" t="s">
        <v>56</v>
      </c>
      <c r="J105" s="215" t="s">
        <v>57</v>
      </c>
      <c r="K105" s="215" t="s">
        <v>58</v>
      </c>
      <c r="L105" s="215" t="s">
        <v>59</v>
      </c>
      <c r="M105" s="215" t="s">
        <v>60</v>
      </c>
      <c r="N105" s="215" t="s">
        <v>61</v>
      </c>
      <c r="O105" s="220" t="s">
        <v>62</v>
      </c>
      <c r="P105" s="221"/>
    </row>
    <row r="106" spans="2:16" x14ac:dyDescent="0.25">
      <c r="B106" s="214"/>
      <c r="C106" s="216"/>
      <c r="D106" s="216"/>
      <c r="E106" s="216"/>
      <c r="F106" s="216"/>
      <c r="G106" s="216"/>
      <c r="H106" s="216"/>
      <c r="I106" s="216"/>
      <c r="J106" s="216"/>
      <c r="K106" s="216"/>
      <c r="L106" s="216"/>
      <c r="M106" s="216"/>
      <c r="N106" s="216"/>
      <c r="O106" s="58" t="s">
        <v>64</v>
      </c>
      <c r="P106" s="58" t="s">
        <v>65</v>
      </c>
    </row>
    <row r="107" spans="2:16" x14ac:dyDescent="0.25">
      <c r="B107" s="35" t="s">
        <v>77</v>
      </c>
      <c r="C107" s="35">
        <f t="shared" ref="C107:N107" si="53">C98*32%</f>
        <v>1731.0592000000001</v>
      </c>
      <c r="D107" s="35">
        <f t="shared" si="53"/>
        <v>1731.0592000000001</v>
      </c>
      <c r="E107" s="35">
        <f t="shared" si="53"/>
        <v>1731.0592000000001</v>
      </c>
      <c r="F107" s="35">
        <f t="shared" si="53"/>
        <v>1731.0592000000001</v>
      </c>
      <c r="G107" s="35">
        <f t="shared" si="53"/>
        <v>1731.0592000000001</v>
      </c>
      <c r="H107" s="35">
        <f t="shared" si="53"/>
        <v>1731.0592000000001</v>
      </c>
      <c r="I107" s="35">
        <f t="shared" si="53"/>
        <v>1731.0592000000001</v>
      </c>
      <c r="J107" s="35">
        <f t="shared" si="53"/>
        <v>1731.0592000000001</v>
      </c>
      <c r="K107" s="35">
        <f t="shared" si="53"/>
        <v>1731.0592000000001</v>
      </c>
      <c r="L107" s="35">
        <f t="shared" si="53"/>
        <v>1731.0592000000001</v>
      </c>
      <c r="M107" s="35">
        <f t="shared" si="53"/>
        <v>1731.0592000000001</v>
      </c>
      <c r="N107" s="35">
        <f t="shared" si="53"/>
        <v>1731.0592000000001</v>
      </c>
      <c r="O107" s="60" t="s">
        <v>78</v>
      </c>
      <c r="P107" s="61">
        <f>SUM(C107:N107)</f>
        <v>20772.7104</v>
      </c>
    </row>
    <row r="108" spans="2:16" x14ac:dyDescent="0.25">
      <c r="B108" s="34" t="s">
        <v>79</v>
      </c>
      <c r="C108" s="34">
        <f t="shared" ref="C108:N108" si="54">C107*20%</f>
        <v>346.21184000000005</v>
      </c>
      <c r="D108" s="34">
        <f t="shared" si="54"/>
        <v>346.21184000000005</v>
      </c>
      <c r="E108" s="34">
        <f t="shared" si="54"/>
        <v>346.21184000000005</v>
      </c>
      <c r="F108" s="34">
        <f t="shared" si="54"/>
        <v>346.21184000000005</v>
      </c>
      <c r="G108" s="34">
        <f t="shared" si="54"/>
        <v>346.21184000000005</v>
      </c>
      <c r="H108" s="34">
        <f t="shared" si="54"/>
        <v>346.21184000000005</v>
      </c>
      <c r="I108" s="34">
        <f t="shared" si="54"/>
        <v>346.21184000000005</v>
      </c>
      <c r="J108" s="34">
        <f t="shared" si="54"/>
        <v>346.21184000000005</v>
      </c>
      <c r="K108" s="34">
        <f t="shared" si="54"/>
        <v>346.21184000000005</v>
      </c>
      <c r="L108" s="34">
        <f t="shared" si="54"/>
        <v>346.21184000000005</v>
      </c>
      <c r="M108" s="34">
        <f t="shared" si="54"/>
        <v>346.21184000000005</v>
      </c>
      <c r="N108" s="34">
        <f t="shared" si="54"/>
        <v>346.21184000000005</v>
      </c>
      <c r="O108" s="34"/>
      <c r="P108" s="34"/>
    </row>
    <row r="109" spans="2:16" x14ac:dyDescent="0.25">
      <c r="B109" s="34" t="s">
        <v>80</v>
      </c>
      <c r="C109" s="34">
        <f t="shared" ref="C109:N109" si="55">C107+C108</f>
        <v>2077.2710400000001</v>
      </c>
      <c r="D109" s="34">
        <f t="shared" si="55"/>
        <v>2077.2710400000001</v>
      </c>
      <c r="E109" s="34">
        <f t="shared" si="55"/>
        <v>2077.2710400000001</v>
      </c>
      <c r="F109" s="34">
        <f t="shared" si="55"/>
        <v>2077.2710400000001</v>
      </c>
      <c r="G109" s="34">
        <f t="shared" si="55"/>
        <v>2077.2710400000001</v>
      </c>
      <c r="H109" s="34">
        <f t="shared" si="55"/>
        <v>2077.2710400000001</v>
      </c>
      <c r="I109" s="34">
        <f t="shared" si="55"/>
        <v>2077.2710400000001</v>
      </c>
      <c r="J109" s="34">
        <f t="shared" si="55"/>
        <v>2077.2710400000001</v>
      </c>
      <c r="K109" s="34">
        <f t="shared" si="55"/>
        <v>2077.2710400000001</v>
      </c>
      <c r="L109" s="34">
        <f t="shared" si="55"/>
        <v>2077.2710400000001</v>
      </c>
      <c r="M109" s="34">
        <f t="shared" si="55"/>
        <v>2077.2710400000001</v>
      </c>
      <c r="N109" s="34">
        <f t="shared" si="55"/>
        <v>2077.2710400000001</v>
      </c>
      <c r="O109" s="34"/>
      <c r="P109" s="34"/>
    </row>
    <row r="110" spans="2:16" x14ac:dyDescent="0.25">
      <c r="B110" s="59" t="s">
        <v>81</v>
      </c>
      <c r="C110" s="59">
        <f t="shared" ref="C110:N110" si="56">C109</f>
        <v>2077.2710400000001</v>
      </c>
      <c r="D110" s="59">
        <f t="shared" si="56"/>
        <v>2077.2710400000001</v>
      </c>
      <c r="E110" s="59">
        <f t="shared" si="56"/>
        <v>2077.2710400000001</v>
      </c>
      <c r="F110" s="59">
        <f t="shared" si="56"/>
        <v>2077.2710400000001</v>
      </c>
      <c r="G110" s="59">
        <f t="shared" si="56"/>
        <v>2077.2710400000001</v>
      </c>
      <c r="H110" s="59">
        <f t="shared" si="56"/>
        <v>2077.2710400000001</v>
      </c>
      <c r="I110" s="59">
        <f t="shared" si="56"/>
        <v>2077.2710400000001</v>
      </c>
      <c r="J110" s="59">
        <f t="shared" si="56"/>
        <v>2077.2710400000001</v>
      </c>
      <c r="K110" s="59">
        <f t="shared" si="56"/>
        <v>2077.2710400000001</v>
      </c>
      <c r="L110" s="59">
        <f t="shared" si="56"/>
        <v>2077.2710400000001</v>
      </c>
      <c r="M110" s="59">
        <f t="shared" si="56"/>
        <v>2077.2710400000001</v>
      </c>
      <c r="N110" s="59">
        <f t="shared" si="56"/>
        <v>2077.2710400000001</v>
      </c>
      <c r="O110" s="60" t="s">
        <v>82</v>
      </c>
      <c r="P110" s="61">
        <v>0</v>
      </c>
    </row>
    <row r="113" spans="2:16" x14ac:dyDescent="0.25">
      <c r="B113" s="288" t="s">
        <v>142</v>
      </c>
      <c r="C113" s="288"/>
      <c r="D113" s="288"/>
      <c r="E113" s="288"/>
      <c r="F113" s="288"/>
      <c r="G113" s="288"/>
      <c r="H113" s="288"/>
      <c r="I113" s="288"/>
      <c r="J113" s="288"/>
      <c r="K113" s="288"/>
      <c r="L113" s="288"/>
      <c r="M113" s="288"/>
      <c r="N113" s="288"/>
      <c r="O113" s="288"/>
      <c r="P113" s="288"/>
    </row>
    <row r="114" spans="2:16" x14ac:dyDescent="0.25">
      <c r="B114" s="213"/>
      <c r="C114" s="215" t="s">
        <v>50</v>
      </c>
      <c r="D114" s="215" t="s">
        <v>51</v>
      </c>
      <c r="E114" s="215" t="s">
        <v>52</v>
      </c>
      <c r="F114" s="215" t="s">
        <v>53</v>
      </c>
      <c r="G114" s="215" t="s">
        <v>54</v>
      </c>
      <c r="H114" s="215" t="s">
        <v>55</v>
      </c>
      <c r="I114" s="215" t="s">
        <v>56</v>
      </c>
      <c r="J114" s="215" t="s">
        <v>57</v>
      </c>
      <c r="K114" s="215" t="s">
        <v>58</v>
      </c>
      <c r="L114" s="215" t="s">
        <v>59</v>
      </c>
      <c r="M114" s="215" t="s">
        <v>60</v>
      </c>
      <c r="N114" s="215" t="s">
        <v>61</v>
      </c>
      <c r="O114" s="220" t="s">
        <v>62</v>
      </c>
      <c r="P114" s="221"/>
    </row>
    <row r="115" spans="2:16" x14ac:dyDescent="0.25">
      <c r="B115" s="214"/>
      <c r="C115" s="216"/>
      <c r="D115" s="216"/>
      <c r="E115" s="216"/>
      <c r="F115" s="216"/>
      <c r="G115" s="216"/>
      <c r="H115" s="216"/>
      <c r="I115" s="216"/>
      <c r="J115" s="216"/>
      <c r="K115" s="216"/>
      <c r="L115" s="216"/>
      <c r="M115" s="216"/>
      <c r="N115" s="216"/>
      <c r="O115" s="58" t="s">
        <v>64</v>
      </c>
      <c r="P115" s="58" t="s">
        <v>65</v>
      </c>
    </row>
    <row r="116" spans="2:16" x14ac:dyDescent="0.25">
      <c r="B116" s="21" t="s">
        <v>84</v>
      </c>
      <c r="C116" s="21">
        <v>7100</v>
      </c>
      <c r="D116" s="21">
        <v>7100</v>
      </c>
      <c r="E116" s="21">
        <v>7100</v>
      </c>
      <c r="F116" s="21">
        <v>7100</v>
      </c>
      <c r="G116" s="21">
        <v>7100</v>
      </c>
      <c r="H116" s="21">
        <v>7100</v>
      </c>
      <c r="I116" s="21">
        <v>7100</v>
      </c>
      <c r="J116" s="21">
        <v>7100</v>
      </c>
      <c r="K116" s="21">
        <v>7100</v>
      </c>
      <c r="L116" s="21">
        <v>7100</v>
      </c>
      <c r="M116" s="21">
        <v>7100</v>
      </c>
      <c r="N116" s="22">
        <v>7100</v>
      </c>
      <c r="O116" s="60" t="s">
        <v>85</v>
      </c>
      <c r="P116" s="61">
        <f>SUM(C116:N116)</f>
        <v>85200</v>
      </c>
    </row>
    <row r="117" spans="2:16" x14ac:dyDescent="0.25">
      <c r="B117" s="21" t="s">
        <v>86</v>
      </c>
      <c r="C117" s="21">
        <f t="shared" ref="C117:N117" si="57">C116*20%</f>
        <v>1420</v>
      </c>
      <c r="D117" s="21">
        <f t="shared" si="57"/>
        <v>1420</v>
      </c>
      <c r="E117" s="21">
        <f t="shared" si="57"/>
        <v>1420</v>
      </c>
      <c r="F117" s="21">
        <f t="shared" si="57"/>
        <v>1420</v>
      </c>
      <c r="G117" s="21">
        <f t="shared" si="57"/>
        <v>1420</v>
      </c>
      <c r="H117" s="21">
        <f t="shared" si="57"/>
        <v>1420</v>
      </c>
      <c r="I117" s="21">
        <f t="shared" si="57"/>
        <v>1420</v>
      </c>
      <c r="J117" s="21">
        <f t="shared" si="57"/>
        <v>1420</v>
      </c>
      <c r="K117" s="21">
        <f t="shared" si="57"/>
        <v>1420</v>
      </c>
      <c r="L117" s="21">
        <f t="shared" si="57"/>
        <v>1420</v>
      </c>
      <c r="M117" s="21">
        <f t="shared" si="57"/>
        <v>1420</v>
      </c>
      <c r="N117" s="22">
        <f t="shared" si="57"/>
        <v>1420</v>
      </c>
      <c r="O117" s="47"/>
      <c r="P117" s="194"/>
    </row>
    <row r="118" spans="2:16" x14ac:dyDescent="0.25">
      <c r="B118" s="142" t="s">
        <v>223</v>
      </c>
      <c r="C118" s="21">
        <f>$P$118/12</f>
        <v>308.03571428571428</v>
      </c>
      <c r="D118" s="21">
        <f t="shared" ref="D118:N118" si="58">$P$118/12</f>
        <v>308.03571428571428</v>
      </c>
      <c r="E118" s="21">
        <f t="shared" si="58"/>
        <v>308.03571428571428</v>
      </c>
      <c r="F118" s="21">
        <f t="shared" si="58"/>
        <v>308.03571428571428</v>
      </c>
      <c r="G118" s="21">
        <f t="shared" si="58"/>
        <v>308.03571428571428</v>
      </c>
      <c r="H118" s="21">
        <f t="shared" si="58"/>
        <v>308.03571428571428</v>
      </c>
      <c r="I118" s="21">
        <f t="shared" si="58"/>
        <v>308.03571428571428</v>
      </c>
      <c r="J118" s="21">
        <f t="shared" si="58"/>
        <v>308.03571428571428</v>
      </c>
      <c r="K118" s="21">
        <f t="shared" si="58"/>
        <v>308.03571428571428</v>
      </c>
      <c r="L118" s="21">
        <f t="shared" si="58"/>
        <v>308.03571428571428</v>
      </c>
      <c r="M118" s="21">
        <f t="shared" si="58"/>
        <v>308.03571428571428</v>
      </c>
      <c r="N118" s="21">
        <f t="shared" si="58"/>
        <v>308.03571428571428</v>
      </c>
      <c r="O118" s="61" t="s">
        <v>224</v>
      </c>
      <c r="P118" s="196">
        <f>Emprunt!S5</f>
        <v>3696.4285714285711</v>
      </c>
    </row>
    <row r="119" spans="2:16" x14ac:dyDescent="0.25">
      <c r="B119" s="142" t="s">
        <v>229</v>
      </c>
      <c r="C119" s="21"/>
      <c r="D119" s="21"/>
      <c r="E119" s="21"/>
      <c r="F119" s="21"/>
      <c r="G119" s="21"/>
      <c r="H119" s="21">
        <f>$P$119/7</f>
        <v>162.91666666666669</v>
      </c>
      <c r="I119" s="21">
        <f t="shared" ref="I119:N119" si="59">$P$119/7</f>
        <v>162.91666666666669</v>
      </c>
      <c r="J119" s="21">
        <f t="shared" si="59"/>
        <v>162.91666666666669</v>
      </c>
      <c r="K119" s="21">
        <f t="shared" si="59"/>
        <v>162.91666666666669</v>
      </c>
      <c r="L119" s="21">
        <f t="shared" si="59"/>
        <v>162.91666666666669</v>
      </c>
      <c r="M119" s="21">
        <f t="shared" si="59"/>
        <v>162.91666666666669</v>
      </c>
      <c r="N119" s="21">
        <f t="shared" si="59"/>
        <v>162.91666666666669</v>
      </c>
      <c r="O119" s="61" t="s">
        <v>230</v>
      </c>
      <c r="P119" s="196">
        <f>Emprunt!S14</f>
        <v>1140.4166666666667</v>
      </c>
    </row>
    <row r="120" spans="2:16" x14ac:dyDescent="0.25">
      <c r="B120" s="34" t="s">
        <v>225</v>
      </c>
      <c r="C120" s="21">
        <f>SUM(C118:C119)*0.2</f>
        <v>61.607142857142861</v>
      </c>
      <c r="D120" s="21">
        <f t="shared" ref="D120:N120" si="60">SUM(D118:D119)*0.2</f>
        <v>61.607142857142861</v>
      </c>
      <c r="E120" s="21">
        <f t="shared" si="60"/>
        <v>61.607142857142861</v>
      </c>
      <c r="F120" s="21">
        <f t="shared" si="60"/>
        <v>61.607142857142861</v>
      </c>
      <c r="G120" s="21">
        <f t="shared" si="60"/>
        <v>61.607142857142861</v>
      </c>
      <c r="H120" s="21">
        <f t="shared" si="60"/>
        <v>94.190476190476204</v>
      </c>
      <c r="I120" s="21">
        <f t="shared" si="60"/>
        <v>94.190476190476204</v>
      </c>
      <c r="J120" s="21">
        <f t="shared" si="60"/>
        <v>94.190476190476204</v>
      </c>
      <c r="K120" s="21">
        <f t="shared" si="60"/>
        <v>94.190476190476204</v>
      </c>
      <c r="L120" s="21">
        <f t="shared" si="60"/>
        <v>94.190476190476204</v>
      </c>
      <c r="M120" s="21">
        <f t="shared" si="60"/>
        <v>94.190476190476204</v>
      </c>
      <c r="N120" s="21">
        <f t="shared" si="60"/>
        <v>94.190476190476204</v>
      </c>
      <c r="O120" s="163"/>
      <c r="P120" s="48"/>
    </row>
    <row r="121" spans="2:16" x14ac:dyDescent="0.25">
      <c r="B121" s="139" t="s">
        <v>87</v>
      </c>
      <c r="C121" s="139">
        <f>SUM(C116:C120)</f>
        <v>8889.6428571428569</v>
      </c>
      <c r="D121" s="139">
        <f t="shared" ref="D121:N121" si="61">SUM(D116:D120)</f>
        <v>8889.6428571428569</v>
      </c>
      <c r="E121" s="139">
        <f t="shared" si="61"/>
        <v>8889.6428571428569</v>
      </c>
      <c r="F121" s="139">
        <f t="shared" si="61"/>
        <v>8889.6428571428569</v>
      </c>
      <c r="G121" s="139">
        <f t="shared" si="61"/>
        <v>8889.6428571428569</v>
      </c>
      <c r="H121" s="139">
        <f t="shared" si="61"/>
        <v>9085.1428571428569</v>
      </c>
      <c r="I121" s="139">
        <f t="shared" si="61"/>
        <v>9085.1428571428569</v>
      </c>
      <c r="J121" s="139">
        <f t="shared" si="61"/>
        <v>9085.1428571428569</v>
      </c>
      <c r="K121" s="139">
        <f t="shared" si="61"/>
        <v>9085.1428571428569</v>
      </c>
      <c r="L121" s="139">
        <f t="shared" si="61"/>
        <v>9085.1428571428569</v>
      </c>
      <c r="M121" s="139">
        <f t="shared" si="61"/>
        <v>9085.1428571428569</v>
      </c>
      <c r="N121" s="139">
        <f t="shared" si="61"/>
        <v>9085.1428571428569</v>
      </c>
      <c r="O121" s="34"/>
      <c r="P121" s="34"/>
    </row>
    <row r="122" spans="2:16" x14ac:dyDescent="0.25">
      <c r="B122" s="59" t="s">
        <v>81</v>
      </c>
      <c r="C122" s="59">
        <f>C121</f>
        <v>8889.6428571428569</v>
      </c>
      <c r="D122" s="59">
        <f t="shared" ref="D122:N122" si="62">D121</f>
        <v>8889.6428571428569</v>
      </c>
      <c r="E122" s="59">
        <f t="shared" si="62"/>
        <v>8889.6428571428569</v>
      </c>
      <c r="F122" s="59">
        <f t="shared" si="62"/>
        <v>8889.6428571428569</v>
      </c>
      <c r="G122" s="59">
        <f t="shared" si="62"/>
        <v>8889.6428571428569</v>
      </c>
      <c r="H122" s="59">
        <f t="shared" si="62"/>
        <v>9085.1428571428569</v>
      </c>
      <c r="I122" s="59">
        <f t="shared" si="62"/>
        <v>9085.1428571428569</v>
      </c>
      <c r="J122" s="59">
        <f t="shared" si="62"/>
        <v>9085.1428571428569</v>
      </c>
      <c r="K122" s="59">
        <f t="shared" si="62"/>
        <v>9085.1428571428569</v>
      </c>
      <c r="L122" s="59">
        <f t="shared" si="62"/>
        <v>9085.1428571428569</v>
      </c>
      <c r="M122" s="59">
        <f t="shared" si="62"/>
        <v>9085.1428571428569</v>
      </c>
      <c r="N122" s="59">
        <f t="shared" si="62"/>
        <v>9085.1428571428569</v>
      </c>
      <c r="O122" s="47"/>
      <c r="P122" s="34"/>
    </row>
    <row r="123" spans="2:16" x14ac:dyDescent="0.25">
      <c r="B123" s="28" t="s">
        <v>89</v>
      </c>
      <c r="C123" s="21"/>
      <c r="D123" s="21"/>
      <c r="E123" s="21"/>
      <c r="F123" s="21"/>
      <c r="G123" s="21"/>
      <c r="H123" s="21"/>
      <c r="I123" s="21"/>
      <c r="J123" s="21"/>
      <c r="K123" s="21"/>
      <c r="L123" s="21"/>
      <c r="M123" s="21"/>
      <c r="N123" s="22">
        <v>7500</v>
      </c>
      <c r="O123" s="47"/>
      <c r="P123" s="48"/>
    </row>
    <row r="124" spans="2:16" x14ac:dyDescent="0.25">
      <c r="B124" s="59" t="s">
        <v>94</v>
      </c>
      <c r="C124" s="59">
        <f>C123</f>
        <v>0</v>
      </c>
      <c r="D124" s="59">
        <f t="shared" ref="D124:N124" si="63">D123</f>
        <v>0</v>
      </c>
      <c r="E124" s="59">
        <f t="shared" si="63"/>
        <v>0</v>
      </c>
      <c r="F124" s="59">
        <f t="shared" si="63"/>
        <v>0</v>
      </c>
      <c r="G124" s="59">
        <f t="shared" si="63"/>
        <v>0</v>
      </c>
      <c r="H124" s="59">
        <f t="shared" si="63"/>
        <v>0</v>
      </c>
      <c r="I124" s="59">
        <f t="shared" si="63"/>
        <v>0</v>
      </c>
      <c r="J124" s="59">
        <f t="shared" si="63"/>
        <v>0</v>
      </c>
      <c r="K124" s="59">
        <f t="shared" si="63"/>
        <v>0</v>
      </c>
      <c r="L124" s="59">
        <f t="shared" si="63"/>
        <v>0</v>
      </c>
      <c r="M124" s="59">
        <f t="shared" si="63"/>
        <v>0</v>
      </c>
      <c r="N124" s="59">
        <f t="shared" si="63"/>
        <v>7500</v>
      </c>
      <c r="O124" s="60" t="s">
        <v>93</v>
      </c>
      <c r="P124" s="61">
        <f>SUM(C124:N124)</f>
        <v>7500</v>
      </c>
    </row>
    <row r="125" spans="2:16" x14ac:dyDescent="0.25">
      <c r="B125" s="21" t="s">
        <v>95</v>
      </c>
      <c r="C125" s="21">
        <f t="shared" ref="C125:N125" si="64">307500/12</f>
        <v>25625</v>
      </c>
      <c r="D125" s="21">
        <f t="shared" si="64"/>
        <v>25625</v>
      </c>
      <c r="E125" s="21">
        <f t="shared" si="64"/>
        <v>25625</v>
      </c>
      <c r="F125" s="21">
        <f t="shared" si="64"/>
        <v>25625</v>
      </c>
      <c r="G125" s="21">
        <f t="shared" si="64"/>
        <v>25625</v>
      </c>
      <c r="H125" s="21">
        <f t="shared" si="64"/>
        <v>25625</v>
      </c>
      <c r="I125" s="21">
        <f t="shared" si="64"/>
        <v>25625</v>
      </c>
      <c r="J125" s="21">
        <f t="shared" si="64"/>
        <v>25625</v>
      </c>
      <c r="K125" s="21">
        <f t="shared" si="64"/>
        <v>25625</v>
      </c>
      <c r="L125" s="21">
        <f t="shared" si="64"/>
        <v>25625</v>
      </c>
      <c r="M125" s="21">
        <f t="shared" si="64"/>
        <v>25625</v>
      </c>
      <c r="N125" s="22">
        <f t="shared" si="64"/>
        <v>25625</v>
      </c>
      <c r="O125" s="47"/>
      <c r="P125" s="48"/>
    </row>
    <row r="126" spans="2:16" x14ac:dyDescent="0.25">
      <c r="B126" s="59" t="s">
        <v>96</v>
      </c>
      <c r="C126" s="59">
        <f t="shared" ref="C126:N126" si="65">C125</f>
        <v>25625</v>
      </c>
      <c r="D126" s="59">
        <f t="shared" si="65"/>
        <v>25625</v>
      </c>
      <c r="E126" s="59">
        <f t="shared" si="65"/>
        <v>25625</v>
      </c>
      <c r="F126" s="59">
        <f t="shared" si="65"/>
        <v>25625</v>
      </c>
      <c r="G126" s="59">
        <f t="shared" si="65"/>
        <v>25625</v>
      </c>
      <c r="H126" s="59">
        <f t="shared" si="65"/>
        <v>25625</v>
      </c>
      <c r="I126" s="59">
        <f t="shared" si="65"/>
        <v>25625</v>
      </c>
      <c r="J126" s="59">
        <f t="shared" si="65"/>
        <v>25625</v>
      </c>
      <c r="K126" s="59">
        <f t="shared" si="65"/>
        <v>25625</v>
      </c>
      <c r="L126" s="59">
        <f t="shared" si="65"/>
        <v>25625</v>
      </c>
      <c r="M126" s="59">
        <f t="shared" si="65"/>
        <v>25625</v>
      </c>
      <c r="N126" s="59">
        <f t="shared" si="65"/>
        <v>25625</v>
      </c>
      <c r="O126" s="60" t="s">
        <v>97</v>
      </c>
      <c r="P126" s="61">
        <f>SUM(C126:N126)</f>
        <v>307500</v>
      </c>
    </row>
    <row r="127" spans="2:16" x14ac:dyDescent="0.25">
      <c r="B127" s="21" t="s">
        <v>21</v>
      </c>
      <c r="C127" s="21">
        <f t="shared" ref="C127:N127" si="66">C125*0.4</f>
        <v>10250</v>
      </c>
      <c r="D127" s="21">
        <f t="shared" si="66"/>
        <v>10250</v>
      </c>
      <c r="E127" s="21">
        <f t="shared" si="66"/>
        <v>10250</v>
      </c>
      <c r="F127" s="21">
        <f t="shared" si="66"/>
        <v>10250</v>
      </c>
      <c r="G127" s="21">
        <f t="shared" si="66"/>
        <v>10250</v>
      </c>
      <c r="H127" s="21">
        <f t="shared" si="66"/>
        <v>10250</v>
      </c>
      <c r="I127" s="21">
        <f t="shared" si="66"/>
        <v>10250</v>
      </c>
      <c r="J127" s="21">
        <f t="shared" si="66"/>
        <v>10250</v>
      </c>
      <c r="K127" s="21">
        <f t="shared" si="66"/>
        <v>10250</v>
      </c>
      <c r="L127" s="21">
        <f t="shared" si="66"/>
        <v>10250</v>
      </c>
      <c r="M127" s="21">
        <f t="shared" si="66"/>
        <v>10250</v>
      </c>
      <c r="N127" s="22">
        <f t="shared" si="66"/>
        <v>10250</v>
      </c>
      <c r="O127" s="60" t="s">
        <v>98</v>
      </c>
      <c r="P127" s="61">
        <f>SUM(C127:N127)</f>
        <v>123000</v>
      </c>
    </row>
    <row r="128" spans="2:16" x14ac:dyDescent="0.25">
      <c r="B128" s="59" t="s">
        <v>99</v>
      </c>
      <c r="C128" s="59">
        <f>'Budget Prev 3 années SANS PRECO'!P121</f>
        <v>10250</v>
      </c>
      <c r="D128" s="59">
        <f t="shared" ref="D128:N128" si="67">C127</f>
        <v>10250</v>
      </c>
      <c r="E128" s="59">
        <f t="shared" si="67"/>
        <v>10250</v>
      </c>
      <c r="F128" s="59">
        <f t="shared" si="67"/>
        <v>10250</v>
      </c>
      <c r="G128" s="59">
        <f t="shared" si="67"/>
        <v>10250</v>
      </c>
      <c r="H128" s="59">
        <f t="shared" si="67"/>
        <v>10250</v>
      </c>
      <c r="I128" s="59">
        <f t="shared" si="67"/>
        <v>10250</v>
      </c>
      <c r="J128" s="59">
        <f t="shared" si="67"/>
        <v>10250</v>
      </c>
      <c r="K128" s="59">
        <f t="shared" si="67"/>
        <v>10250</v>
      </c>
      <c r="L128" s="59">
        <f t="shared" si="67"/>
        <v>10250</v>
      </c>
      <c r="M128" s="59">
        <f t="shared" si="67"/>
        <v>10250</v>
      </c>
      <c r="N128" s="59">
        <f t="shared" si="67"/>
        <v>10250</v>
      </c>
      <c r="O128" s="60" t="s">
        <v>100</v>
      </c>
      <c r="P128" s="61">
        <f>N127</f>
        <v>10250</v>
      </c>
    </row>
    <row r="131" spans="2:16" x14ac:dyDescent="0.25">
      <c r="B131" s="288" t="s">
        <v>147</v>
      </c>
      <c r="C131" s="288"/>
      <c r="D131" s="288"/>
      <c r="E131" s="288"/>
      <c r="F131" s="288"/>
      <c r="G131" s="288"/>
      <c r="H131" s="288"/>
      <c r="I131" s="288"/>
      <c r="J131" s="288"/>
      <c r="K131" s="288"/>
      <c r="L131" s="288"/>
      <c r="M131" s="288"/>
      <c r="N131" s="288"/>
      <c r="O131" s="288"/>
      <c r="P131" s="288"/>
    </row>
    <row r="132" spans="2:16" x14ac:dyDescent="0.25">
      <c r="B132" s="213"/>
      <c r="C132" s="215" t="s">
        <v>50</v>
      </c>
      <c r="D132" s="215" t="s">
        <v>51</v>
      </c>
      <c r="E132" s="215" t="s">
        <v>52</v>
      </c>
      <c r="F132" s="215" t="s">
        <v>53</v>
      </c>
      <c r="G132" s="215" t="s">
        <v>54</v>
      </c>
      <c r="H132" s="215" t="s">
        <v>55</v>
      </c>
      <c r="I132" s="215" t="s">
        <v>56</v>
      </c>
      <c r="J132" s="215" t="s">
        <v>57</v>
      </c>
      <c r="K132" s="215" t="s">
        <v>58</v>
      </c>
      <c r="L132" s="215" t="s">
        <v>59</v>
      </c>
      <c r="M132" s="215" t="s">
        <v>60</v>
      </c>
      <c r="N132" s="215" t="s">
        <v>61</v>
      </c>
      <c r="O132" s="220" t="s">
        <v>62</v>
      </c>
      <c r="P132" s="221"/>
    </row>
    <row r="133" spans="2:16" x14ac:dyDescent="0.25">
      <c r="B133" s="214"/>
      <c r="C133" s="216"/>
      <c r="D133" s="216"/>
      <c r="E133" s="216"/>
      <c r="F133" s="216"/>
      <c r="G133" s="216"/>
      <c r="H133" s="216"/>
      <c r="I133" s="216"/>
      <c r="J133" s="216"/>
      <c r="K133" s="216"/>
      <c r="L133" s="216"/>
      <c r="M133" s="216"/>
      <c r="N133" s="216"/>
      <c r="O133" s="58" t="s">
        <v>64</v>
      </c>
      <c r="P133" s="58" t="s">
        <v>65</v>
      </c>
    </row>
    <row r="134" spans="2:16" x14ac:dyDescent="0.25">
      <c r="B134" s="46" t="s">
        <v>102</v>
      </c>
      <c r="C134" s="35"/>
      <c r="D134" s="35"/>
      <c r="E134" s="35"/>
      <c r="F134" s="35"/>
      <c r="G134" s="35"/>
      <c r="H134" s="35"/>
      <c r="I134" s="35"/>
      <c r="J134" s="35"/>
      <c r="K134" s="35"/>
      <c r="L134" s="35">
        <v>8200</v>
      </c>
      <c r="M134" s="35"/>
      <c r="N134" s="35"/>
      <c r="O134" s="60" t="s">
        <v>103</v>
      </c>
      <c r="P134" s="61">
        <f>SUM(C134:N134)</f>
        <v>8200</v>
      </c>
    </row>
    <row r="135" spans="2:16" x14ac:dyDescent="0.25">
      <c r="B135" s="34" t="s">
        <v>105</v>
      </c>
      <c r="C135" s="34"/>
      <c r="D135" s="34"/>
      <c r="E135" s="34"/>
      <c r="F135" s="34"/>
      <c r="G135" s="34"/>
      <c r="H135" s="34"/>
      <c r="I135" s="34"/>
      <c r="J135" s="34"/>
      <c r="K135" s="34"/>
      <c r="L135" s="34">
        <v>8200</v>
      </c>
      <c r="M135" s="34"/>
      <c r="N135" s="34"/>
      <c r="O135" s="34"/>
      <c r="P135" s="34"/>
    </row>
    <row r="136" spans="2:16" x14ac:dyDescent="0.25">
      <c r="B136" s="34" t="s">
        <v>106</v>
      </c>
      <c r="C136" s="34">
        <f t="shared" ref="C136:N136" si="68">$P$136/12</f>
        <v>175</v>
      </c>
      <c r="D136" s="34">
        <f t="shared" si="68"/>
        <v>175</v>
      </c>
      <c r="E136" s="34">
        <f t="shared" si="68"/>
        <v>175</v>
      </c>
      <c r="F136" s="34">
        <f t="shared" si="68"/>
        <v>175</v>
      </c>
      <c r="G136" s="34">
        <f t="shared" si="68"/>
        <v>175</v>
      </c>
      <c r="H136" s="34">
        <f t="shared" si="68"/>
        <v>175</v>
      </c>
      <c r="I136" s="34">
        <f t="shared" si="68"/>
        <v>175</v>
      </c>
      <c r="J136" s="34">
        <f t="shared" si="68"/>
        <v>175</v>
      </c>
      <c r="K136" s="34">
        <f t="shared" si="68"/>
        <v>175</v>
      </c>
      <c r="L136" s="34">
        <f t="shared" si="68"/>
        <v>175</v>
      </c>
      <c r="M136" s="34">
        <f t="shared" si="68"/>
        <v>175</v>
      </c>
      <c r="N136" s="34">
        <f t="shared" si="68"/>
        <v>175</v>
      </c>
      <c r="O136" s="60" t="s">
        <v>107</v>
      </c>
      <c r="P136" s="61">
        <f>Informations!D27</f>
        <v>2100</v>
      </c>
    </row>
    <row r="137" spans="2:16" x14ac:dyDescent="0.25">
      <c r="B137" s="34" t="s">
        <v>108</v>
      </c>
      <c r="C137" s="34">
        <f t="shared" ref="C137:N137" si="69">$P$44/12</f>
        <v>5000</v>
      </c>
      <c r="D137" s="34">
        <f t="shared" si="69"/>
        <v>5000</v>
      </c>
      <c r="E137" s="34">
        <f t="shared" si="69"/>
        <v>5000</v>
      </c>
      <c r="F137" s="34">
        <f t="shared" si="69"/>
        <v>5000</v>
      </c>
      <c r="G137" s="34">
        <f t="shared" si="69"/>
        <v>5000</v>
      </c>
      <c r="H137" s="34">
        <f t="shared" si="69"/>
        <v>5000</v>
      </c>
      <c r="I137" s="34">
        <f t="shared" si="69"/>
        <v>5000</v>
      </c>
      <c r="J137" s="34">
        <f t="shared" si="69"/>
        <v>5000</v>
      </c>
      <c r="K137" s="34">
        <f t="shared" si="69"/>
        <v>5000</v>
      </c>
      <c r="L137" s="34">
        <f t="shared" si="69"/>
        <v>5000</v>
      </c>
      <c r="M137" s="34">
        <f t="shared" si="69"/>
        <v>5000</v>
      </c>
      <c r="N137" s="34">
        <f t="shared" si="69"/>
        <v>5000</v>
      </c>
      <c r="O137" s="60" t="s">
        <v>109</v>
      </c>
      <c r="P137" s="61">
        <f>Informations!E27</f>
        <v>60000</v>
      </c>
    </row>
    <row r="138" spans="2:16" x14ac:dyDescent="0.25">
      <c r="B138" s="59" t="s">
        <v>71</v>
      </c>
      <c r="C138" s="59">
        <f t="shared" ref="C138:N138" si="70">C136+C137</f>
        <v>5175</v>
      </c>
      <c r="D138" s="59">
        <f t="shared" si="70"/>
        <v>5175</v>
      </c>
      <c r="E138" s="59">
        <f t="shared" si="70"/>
        <v>5175</v>
      </c>
      <c r="F138" s="59">
        <f t="shared" si="70"/>
        <v>5175</v>
      </c>
      <c r="G138" s="59">
        <f t="shared" si="70"/>
        <v>5175</v>
      </c>
      <c r="H138" s="59">
        <f t="shared" si="70"/>
        <v>5175</v>
      </c>
      <c r="I138" s="59">
        <f t="shared" si="70"/>
        <v>5175</v>
      </c>
      <c r="J138" s="59">
        <f t="shared" si="70"/>
        <v>5175</v>
      </c>
      <c r="K138" s="59">
        <f t="shared" si="70"/>
        <v>5175</v>
      </c>
      <c r="L138" s="59">
        <f t="shared" si="70"/>
        <v>5175</v>
      </c>
      <c r="M138" s="59">
        <f t="shared" si="70"/>
        <v>5175</v>
      </c>
      <c r="N138" s="59">
        <f t="shared" si="70"/>
        <v>5175</v>
      </c>
      <c r="O138" s="38"/>
      <c r="P138" s="38"/>
    </row>
    <row r="141" spans="2:16" x14ac:dyDescent="0.25">
      <c r="B141" s="288" t="s">
        <v>148</v>
      </c>
      <c r="C141" s="288"/>
      <c r="D141" s="288"/>
      <c r="E141" s="288"/>
      <c r="F141" s="288"/>
      <c r="G141" s="288"/>
      <c r="H141" s="288"/>
      <c r="I141" s="288"/>
      <c r="J141" s="288"/>
      <c r="K141" s="288"/>
      <c r="L141" s="288"/>
      <c r="M141" s="288"/>
      <c r="N141" s="288"/>
      <c r="O141" s="288"/>
      <c r="P141" s="288"/>
    </row>
    <row r="142" spans="2:16" x14ac:dyDescent="0.25">
      <c r="B142" s="213"/>
      <c r="C142" s="215" t="s">
        <v>50</v>
      </c>
      <c r="D142" s="215" t="s">
        <v>51</v>
      </c>
      <c r="E142" s="215" t="s">
        <v>52</v>
      </c>
      <c r="F142" s="215" t="s">
        <v>53</v>
      </c>
      <c r="G142" s="215" t="s">
        <v>54</v>
      </c>
      <c r="H142" s="215" t="s">
        <v>55</v>
      </c>
      <c r="I142" s="215" t="s">
        <v>56</v>
      </c>
      <c r="J142" s="215" t="s">
        <v>57</v>
      </c>
      <c r="K142" s="215" t="s">
        <v>58</v>
      </c>
      <c r="L142" s="215" t="s">
        <v>59</v>
      </c>
      <c r="M142" s="215" t="s">
        <v>60</v>
      </c>
      <c r="N142" s="215" t="s">
        <v>61</v>
      </c>
      <c r="O142" s="220" t="s">
        <v>62</v>
      </c>
      <c r="P142" s="221"/>
    </row>
    <row r="143" spans="2:16" x14ac:dyDescent="0.25">
      <c r="B143" s="214"/>
      <c r="C143" s="216"/>
      <c r="D143" s="216"/>
      <c r="E143" s="216"/>
      <c r="F143" s="216"/>
      <c r="G143" s="216"/>
      <c r="H143" s="216"/>
      <c r="I143" s="216"/>
      <c r="J143" s="216"/>
      <c r="K143" s="216"/>
      <c r="L143" s="216"/>
      <c r="M143" s="216"/>
      <c r="N143" s="216"/>
      <c r="O143" s="58" t="s">
        <v>64</v>
      </c>
      <c r="P143" s="58" t="s">
        <v>65</v>
      </c>
    </row>
    <row r="144" spans="2:16" x14ac:dyDescent="0.25">
      <c r="B144" s="35" t="s">
        <v>111</v>
      </c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5"/>
      <c r="N144" s="35"/>
      <c r="O144" s="60" t="s">
        <v>112</v>
      </c>
      <c r="P144" s="61">
        <f>SUM(C144:N144)</f>
        <v>0</v>
      </c>
    </row>
    <row r="145" spans="2:31" x14ac:dyDescent="0.25">
      <c r="B145" s="34" t="s">
        <v>113</v>
      </c>
      <c r="C145" s="34">
        <f t="shared" ref="C145:N145" si="71">C144*20%</f>
        <v>0</v>
      </c>
      <c r="D145" s="34">
        <f t="shared" si="71"/>
        <v>0</v>
      </c>
      <c r="E145" s="34">
        <f t="shared" si="71"/>
        <v>0</v>
      </c>
      <c r="F145" s="34">
        <f t="shared" si="71"/>
        <v>0</v>
      </c>
      <c r="G145" s="34">
        <f t="shared" si="71"/>
        <v>0</v>
      </c>
      <c r="H145" s="34">
        <f t="shared" si="71"/>
        <v>0</v>
      </c>
      <c r="I145" s="34">
        <f t="shared" si="71"/>
        <v>0</v>
      </c>
      <c r="J145" s="34">
        <f t="shared" si="71"/>
        <v>0</v>
      </c>
      <c r="K145" s="34">
        <f t="shared" si="71"/>
        <v>0</v>
      </c>
      <c r="L145" s="34">
        <f t="shared" si="71"/>
        <v>0</v>
      </c>
      <c r="M145" s="34">
        <f t="shared" si="71"/>
        <v>0</v>
      </c>
      <c r="N145" s="34">
        <f t="shared" si="71"/>
        <v>0</v>
      </c>
      <c r="O145" s="34"/>
      <c r="P145" s="34"/>
    </row>
    <row r="146" spans="2:31" x14ac:dyDescent="0.25">
      <c r="B146" s="34" t="s">
        <v>114</v>
      </c>
      <c r="C146" s="34">
        <f t="shared" ref="C146:N146" si="72">C144+C145</f>
        <v>0</v>
      </c>
      <c r="D146" s="34">
        <f t="shared" si="72"/>
        <v>0</v>
      </c>
      <c r="E146" s="34">
        <f t="shared" si="72"/>
        <v>0</v>
      </c>
      <c r="F146" s="34">
        <f t="shared" si="72"/>
        <v>0</v>
      </c>
      <c r="G146" s="34">
        <f t="shared" si="72"/>
        <v>0</v>
      </c>
      <c r="H146" s="34">
        <f t="shared" si="72"/>
        <v>0</v>
      </c>
      <c r="I146" s="34">
        <f t="shared" si="72"/>
        <v>0</v>
      </c>
      <c r="J146" s="34">
        <f t="shared" si="72"/>
        <v>0</v>
      </c>
      <c r="K146" s="34">
        <f t="shared" si="72"/>
        <v>0</v>
      </c>
      <c r="L146" s="34">
        <f t="shared" si="72"/>
        <v>0</v>
      </c>
      <c r="M146" s="34">
        <f t="shared" si="72"/>
        <v>0</v>
      </c>
      <c r="N146" s="34">
        <f t="shared" si="72"/>
        <v>0</v>
      </c>
      <c r="O146" s="34"/>
      <c r="P146" s="34"/>
    </row>
    <row r="147" spans="2:31" x14ac:dyDescent="0.25">
      <c r="B147" s="59" t="s">
        <v>81</v>
      </c>
      <c r="C147" s="59">
        <f t="shared" ref="C147:N147" si="73">C146</f>
        <v>0</v>
      </c>
      <c r="D147" s="59">
        <f t="shared" si="73"/>
        <v>0</v>
      </c>
      <c r="E147" s="59">
        <f t="shared" si="73"/>
        <v>0</v>
      </c>
      <c r="F147" s="59">
        <f t="shared" si="73"/>
        <v>0</v>
      </c>
      <c r="G147" s="59">
        <f t="shared" si="73"/>
        <v>0</v>
      </c>
      <c r="H147" s="59">
        <f t="shared" si="73"/>
        <v>0</v>
      </c>
      <c r="I147" s="59">
        <f t="shared" si="73"/>
        <v>0</v>
      </c>
      <c r="J147" s="59">
        <f t="shared" si="73"/>
        <v>0</v>
      </c>
      <c r="K147" s="59">
        <f t="shared" si="73"/>
        <v>0</v>
      </c>
      <c r="L147" s="59">
        <f t="shared" si="73"/>
        <v>0</v>
      </c>
      <c r="M147" s="59">
        <f t="shared" si="73"/>
        <v>0</v>
      </c>
      <c r="N147" s="59">
        <f t="shared" si="73"/>
        <v>0</v>
      </c>
      <c r="O147" s="60" t="s">
        <v>220</v>
      </c>
      <c r="P147" s="61">
        <v>0</v>
      </c>
    </row>
    <row r="148" spans="2:31" x14ac:dyDescent="0.25">
      <c r="C148" s="20" t="s">
        <v>149</v>
      </c>
      <c r="S148" s="283" t="s">
        <v>203</v>
      </c>
      <c r="T148" s="283" t="s">
        <v>50</v>
      </c>
      <c r="U148" s="283" t="s">
        <v>51</v>
      </c>
      <c r="V148" s="283" t="s">
        <v>52</v>
      </c>
      <c r="W148" s="283" t="s">
        <v>53</v>
      </c>
      <c r="X148" s="283" t="s">
        <v>54</v>
      </c>
      <c r="Y148" s="283" t="s">
        <v>55</v>
      </c>
      <c r="Z148" s="283" t="s">
        <v>56</v>
      </c>
      <c r="AA148" s="283" t="s">
        <v>57</v>
      </c>
      <c r="AB148" s="283" t="s">
        <v>58</v>
      </c>
      <c r="AC148" s="283" t="s">
        <v>59</v>
      </c>
      <c r="AD148" s="283" t="s">
        <v>60</v>
      </c>
      <c r="AE148" s="283" t="s">
        <v>61</v>
      </c>
    </row>
    <row r="149" spans="2:31" x14ac:dyDescent="0.25">
      <c r="S149" s="283"/>
      <c r="T149" s="283"/>
      <c r="U149" s="283"/>
      <c r="V149" s="283"/>
      <c r="W149" s="283"/>
      <c r="X149" s="283"/>
      <c r="Y149" s="283"/>
      <c r="Z149" s="283"/>
      <c r="AA149" s="283"/>
      <c r="AB149" s="283"/>
      <c r="AC149" s="283"/>
      <c r="AD149" s="283"/>
      <c r="AE149" s="283"/>
    </row>
    <row r="150" spans="2:31" x14ac:dyDescent="0.25">
      <c r="B150" s="288" t="s">
        <v>150</v>
      </c>
      <c r="C150" s="288"/>
      <c r="D150" s="288"/>
      <c r="E150" s="288"/>
      <c r="F150" s="288"/>
      <c r="G150" s="288"/>
      <c r="H150" s="288"/>
      <c r="I150" s="288"/>
      <c r="J150" s="288"/>
      <c r="K150" s="288"/>
      <c r="L150" s="288"/>
      <c r="M150" s="288"/>
      <c r="N150" s="288"/>
      <c r="O150" s="288"/>
      <c r="P150" s="288"/>
      <c r="S150" s="59" t="s">
        <v>204</v>
      </c>
      <c r="T150" s="59">
        <f t="shared" ref="T150:AE150" si="74">C167</f>
        <v>6396.9359999999997</v>
      </c>
      <c r="U150" s="59">
        <f t="shared" si="74"/>
        <v>6491.4720000000007</v>
      </c>
      <c r="V150" s="59">
        <f t="shared" si="74"/>
        <v>6491.4720000000007</v>
      </c>
      <c r="W150" s="59">
        <f t="shared" si="74"/>
        <v>6491.4720000000007</v>
      </c>
      <c r="X150" s="59">
        <f t="shared" si="74"/>
        <v>6491.4720000000007</v>
      </c>
      <c r="Y150" s="59">
        <f t="shared" si="74"/>
        <v>6491.4720000000007</v>
      </c>
      <c r="Z150" s="59">
        <f t="shared" si="74"/>
        <v>6491.4720000000007</v>
      </c>
      <c r="AA150" s="59">
        <f t="shared" si="74"/>
        <v>6491.4720000000007</v>
      </c>
      <c r="AB150" s="59">
        <f t="shared" si="74"/>
        <v>6491.4720000000007</v>
      </c>
      <c r="AC150" s="59">
        <f t="shared" si="74"/>
        <v>6491.4720000000007</v>
      </c>
      <c r="AD150" s="59">
        <f t="shared" si="74"/>
        <v>6491.4720000000007</v>
      </c>
      <c r="AE150" s="59">
        <f t="shared" si="74"/>
        <v>6491.4720000000007</v>
      </c>
    </row>
    <row r="151" spans="2:31" x14ac:dyDescent="0.25">
      <c r="B151" s="213"/>
      <c r="C151" s="215" t="s">
        <v>50</v>
      </c>
      <c r="D151" s="215" t="s">
        <v>51</v>
      </c>
      <c r="E151" s="215" t="s">
        <v>52</v>
      </c>
      <c r="F151" s="215" t="s">
        <v>53</v>
      </c>
      <c r="G151" s="215" t="s">
        <v>54</v>
      </c>
      <c r="H151" s="215" t="s">
        <v>55</v>
      </c>
      <c r="I151" s="215" t="s">
        <v>56</v>
      </c>
      <c r="J151" s="215" t="s">
        <v>57</v>
      </c>
      <c r="K151" s="215" t="s">
        <v>58</v>
      </c>
      <c r="L151" s="215" t="s">
        <v>59</v>
      </c>
      <c r="M151" s="215" t="s">
        <v>60</v>
      </c>
      <c r="N151" s="215" t="s">
        <v>61</v>
      </c>
      <c r="O151" s="220" t="s">
        <v>62</v>
      </c>
      <c r="P151" s="221"/>
      <c r="S151" s="34" t="s">
        <v>205</v>
      </c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4"/>
      <c r="AE151" s="34"/>
    </row>
    <row r="152" spans="2:31" x14ac:dyDescent="0.25">
      <c r="B152" s="214"/>
      <c r="C152" s="216"/>
      <c r="D152" s="216"/>
      <c r="E152" s="216"/>
      <c r="F152" s="216"/>
      <c r="G152" s="216"/>
      <c r="H152" s="216"/>
      <c r="I152" s="216"/>
      <c r="J152" s="216"/>
      <c r="K152" s="216"/>
      <c r="L152" s="216"/>
      <c r="M152" s="216"/>
      <c r="N152" s="216"/>
      <c r="O152" s="58" t="s">
        <v>64</v>
      </c>
      <c r="P152" s="58" t="s">
        <v>65</v>
      </c>
      <c r="S152" s="34" t="s">
        <v>206</v>
      </c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4"/>
      <c r="AE152" s="34"/>
    </row>
    <row r="153" spans="2:31" x14ac:dyDescent="0.25">
      <c r="B153" s="59" t="s">
        <v>68</v>
      </c>
      <c r="C153" s="59">
        <f t="shared" ref="C153:N153" si="75">C99</f>
        <v>1081.912</v>
      </c>
      <c r="D153" s="59">
        <f t="shared" si="75"/>
        <v>1081.912</v>
      </c>
      <c r="E153" s="59">
        <f t="shared" si="75"/>
        <v>1081.912</v>
      </c>
      <c r="F153" s="59">
        <f t="shared" si="75"/>
        <v>1081.912</v>
      </c>
      <c r="G153" s="59">
        <f t="shared" si="75"/>
        <v>1081.912</v>
      </c>
      <c r="H153" s="59">
        <f t="shared" si="75"/>
        <v>1081.912</v>
      </c>
      <c r="I153" s="59">
        <f t="shared" si="75"/>
        <v>1081.912</v>
      </c>
      <c r="J153" s="59">
        <f t="shared" si="75"/>
        <v>1081.912</v>
      </c>
      <c r="K153" s="59">
        <f t="shared" si="75"/>
        <v>1081.912</v>
      </c>
      <c r="L153" s="59">
        <f t="shared" si="75"/>
        <v>1081.912</v>
      </c>
      <c r="M153" s="59">
        <f t="shared" si="75"/>
        <v>1081.912</v>
      </c>
      <c r="N153" s="59">
        <f t="shared" si="75"/>
        <v>1081.912</v>
      </c>
      <c r="O153" s="34"/>
      <c r="P153" s="34"/>
      <c r="S153" s="34" t="s">
        <v>207</v>
      </c>
      <c r="T153" s="34">
        <v>3425</v>
      </c>
      <c r="U153" s="34">
        <v>2392</v>
      </c>
      <c r="V153" s="34">
        <v>2320</v>
      </c>
      <c r="W153" s="34">
        <v>2315</v>
      </c>
      <c r="X153" s="34">
        <v>2314</v>
      </c>
      <c r="Y153" s="34">
        <v>2511</v>
      </c>
      <c r="Z153" s="34">
        <v>2491</v>
      </c>
      <c r="AA153" s="34">
        <v>2490</v>
      </c>
      <c r="AB153" s="34">
        <v>2489</v>
      </c>
      <c r="AC153" s="34">
        <v>10690</v>
      </c>
      <c r="AD153" s="34">
        <v>3064</v>
      </c>
      <c r="AE153" s="34">
        <v>2530</v>
      </c>
    </row>
    <row r="154" spans="2:31" x14ac:dyDescent="0.25">
      <c r="B154" s="34" t="s">
        <v>79</v>
      </c>
      <c r="C154" s="34">
        <f t="shared" ref="C154:N154" si="76">C108</f>
        <v>346.21184000000005</v>
      </c>
      <c r="D154" s="34">
        <f t="shared" si="76"/>
        <v>346.21184000000005</v>
      </c>
      <c r="E154" s="34">
        <f t="shared" si="76"/>
        <v>346.21184000000005</v>
      </c>
      <c r="F154" s="34">
        <f t="shared" si="76"/>
        <v>346.21184000000005</v>
      </c>
      <c r="G154" s="34">
        <f t="shared" si="76"/>
        <v>346.21184000000005</v>
      </c>
      <c r="H154" s="34">
        <f t="shared" si="76"/>
        <v>346.21184000000005</v>
      </c>
      <c r="I154" s="34">
        <f t="shared" si="76"/>
        <v>346.21184000000005</v>
      </c>
      <c r="J154" s="34">
        <f t="shared" si="76"/>
        <v>346.21184000000005</v>
      </c>
      <c r="K154" s="34">
        <f t="shared" si="76"/>
        <v>346.21184000000005</v>
      </c>
      <c r="L154" s="34">
        <f t="shared" si="76"/>
        <v>346.21184000000005</v>
      </c>
      <c r="M154" s="34">
        <f t="shared" si="76"/>
        <v>346.21184000000005</v>
      </c>
      <c r="N154" s="34">
        <f t="shared" si="76"/>
        <v>346.21184000000005</v>
      </c>
      <c r="O154" s="34"/>
      <c r="P154" s="34"/>
      <c r="S154" s="59" t="s">
        <v>210</v>
      </c>
      <c r="T154" s="59">
        <f t="shared" ref="T154:AE154" si="77">T150+T153</f>
        <v>9821.9359999999997</v>
      </c>
      <c r="U154" s="59">
        <f t="shared" si="77"/>
        <v>8883.4720000000016</v>
      </c>
      <c r="V154" s="59">
        <f t="shared" si="77"/>
        <v>8811.4720000000016</v>
      </c>
      <c r="W154" s="59">
        <f t="shared" si="77"/>
        <v>8806.4720000000016</v>
      </c>
      <c r="X154" s="59">
        <f t="shared" si="77"/>
        <v>8805.4720000000016</v>
      </c>
      <c r="Y154" s="59">
        <f t="shared" si="77"/>
        <v>9002.4720000000016</v>
      </c>
      <c r="Z154" s="59">
        <f t="shared" si="77"/>
        <v>8982.4720000000016</v>
      </c>
      <c r="AA154" s="59">
        <f t="shared" si="77"/>
        <v>8981.4720000000016</v>
      </c>
      <c r="AB154" s="59">
        <f t="shared" si="77"/>
        <v>8980.4720000000016</v>
      </c>
      <c r="AC154" s="59">
        <f t="shared" si="77"/>
        <v>17181.472000000002</v>
      </c>
      <c r="AD154" s="59">
        <f t="shared" si="77"/>
        <v>9555.4720000000016</v>
      </c>
      <c r="AE154" s="59">
        <f t="shared" si="77"/>
        <v>9021.4720000000016</v>
      </c>
    </row>
    <row r="155" spans="2:31" x14ac:dyDescent="0.25">
      <c r="B155" s="34" t="s">
        <v>86</v>
      </c>
      <c r="C155" s="34">
        <f t="shared" ref="C155:N155" si="78">C117+C120</f>
        <v>1481.6071428571429</v>
      </c>
      <c r="D155" s="34">
        <f t="shared" si="78"/>
        <v>1481.6071428571429</v>
      </c>
      <c r="E155" s="34">
        <f t="shared" si="78"/>
        <v>1481.6071428571429</v>
      </c>
      <c r="F155" s="34">
        <f t="shared" si="78"/>
        <v>1481.6071428571429</v>
      </c>
      <c r="G155" s="34">
        <f t="shared" si="78"/>
        <v>1481.6071428571429</v>
      </c>
      <c r="H155" s="34">
        <f t="shared" si="78"/>
        <v>1514.1904761904761</v>
      </c>
      <c r="I155" s="34">
        <f t="shared" si="78"/>
        <v>1514.1904761904761</v>
      </c>
      <c r="J155" s="34">
        <f t="shared" si="78"/>
        <v>1514.1904761904761</v>
      </c>
      <c r="K155" s="34">
        <f t="shared" si="78"/>
        <v>1514.1904761904761</v>
      </c>
      <c r="L155" s="34">
        <f t="shared" si="78"/>
        <v>1514.1904761904761</v>
      </c>
      <c r="M155" s="34">
        <f t="shared" si="78"/>
        <v>1514.1904761904761</v>
      </c>
      <c r="N155" s="34">
        <f t="shared" si="78"/>
        <v>1514.1904761904761</v>
      </c>
      <c r="O155" s="34"/>
      <c r="P155" s="34"/>
      <c r="S155" s="34" t="s">
        <v>211</v>
      </c>
      <c r="T155" s="34">
        <f t="shared" ref="T155:AE155" si="79">C177</f>
        <v>51270.586754285709</v>
      </c>
      <c r="U155" s="34">
        <f t="shared" si="79"/>
        <v>51271.00691428571</v>
      </c>
      <c r="V155" s="34">
        <f t="shared" si="79"/>
        <v>51271.00691428571</v>
      </c>
      <c r="W155" s="34">
        <f t="shared" si="79"/>
        <v>51271.00691428571</v>
      </c>
      <c r="X155" s="34">
        <f t="shared" si="79"/>
        <v>51271.00691428571</v>
      </c>
      <c r="Y155" s="34">
        <f t="shared" si="79"/>
        <v>51466.50691428571</v>
      </c>
      <c r="Z155" s="34">
        <f t="shared" si="79"/>
        <v>51433.923580952382</v>
      </c>
      <c r="AA155" s="34">
        <f t="shared" si="79"/>
        <v>51433.923580952382</v>
      </c>
      <c r="AB155" s="34">
        <f t="shared" si="79"/>
        <v>51433.923580952382</v>
      </c>
      <c r="AC155" s="34">
        <f t="shared" si="79"/>
        <v>59633.923580952382</v>
      </c>
      <c r="AD155" s="34">
        <f t="shared" si="79"/>
        <v>51433.923580952382</v>
      </c>
      <c r="AE155" s="34">
        <f t="shared" si="79"/>
        <v>51433.923580952382</v>
      </c>
    </row>
    <row r="156" spans="2:31" x14ac:dyDescent="0.25">
      <c r="B156" s="59" t="s">
        <v>113</v>
      </c>
      <c r="C156" s="59">
        <f t="shared" ref="C156:N156" si="80">C145</f>
        <v>0</v>
      </c>
      <c r="D156" s="59">
        <f t="shared" si="80"/>
        <v>0</v>
      </c>
      <c r="E156" s="59">
        <f t="shared" si="80"/>
        <v>0</v>
      </c>
      <c r="F156" s="59">
        <f t="shared" si="80"/>
        <v>0</v>
      </c>
      <c r="G156" s="59">
        <f t="shared" si="80"/>
        <v>0</v>
      </c>
      <c r="H156" s="59">
        <f t="shared" si="80"/>
        <v>0</v>
      </c>
      <c r="I156" s="59">
        <f t="shared" si="80"/>
        <v>0</v>
      </c>
      <c r="J156" s="59">
        <f t="shared" si="80"/>
        <v>0</v>
      </c>
      <c r="K156" s="59">
        <f t="shared" si="80"/>
        <v>0</v>
      </c>
      <c r="L156" s="59">
        <f t="shared" si="80"/>
        <v>0</v>
      </c>
      <c r="M156" s="59">
        <f t="shared" si="80"/>
        <v>0</v>
      </c>
      <c r="N156" s="59">
        <f t="shared" si="80"/>
        <v>0</v>
      </c>
      <c r="O156" s="34"/>
      <c r="P156" s="34"/>
      <c r="S156" s="34" t="s">
        <v>212</v>
      </c>
      <c r="T156" s="34">
        <f>AE53*0.07</f>
        <v>86.87</v>
      </c>
      <c r="U156" s="34">
        <f t="shared" ref="U156:AE156" si="81">T153*0.07</f>
        <v>239.75000000000003</v>
      </c>
      <c r="V156" s="34">
        <f t="shared" si="81"/>
        <v>167.44000000000003</v>
      </c>
      <c r="W156" s="34">
        <f t="shared" si="81"/>
        <v>162.4</v>
      </c>
      <c r="X156" s="34">
        <f t="shared" si="81"/>
        <v>162.05000000000001</v>
      </c>
      <c r="Y156" s="34">
        <f t="shared" si="81"/>
        <v>161.98000000000002</v>
      </c>
      <c r="Z156" s="34">
        <f t="shared" si="81"/>
        <v>175.77</v>
      </c>
      <c r="AA156" s="34">
        <f t="shared" si="81"/>
        <v>174.37</v>
      </c>
      <c r="AB156" s="34">
        <f t="shared" si="81"/>
        <v>174.3</v>
      </c>
      <c r="AC156" s="34">
        <f t="shared" si="81"/>
        <v>174.23000000000002</v>
      </c>
      <c r="AD156" s="34">
        <f t="shared" si="81"/>
        <v>748.30000000000007</v>
      </c>
      <c r="AE156" s="34">
        <f t="shared" si="81"/>
        <v>214.48000000000002</v>
      </c>
    </row>
    <row r="157" spans="2:31" x14ac:dyDescent="0.25">
      <c r="B157" s="44" t="s">
        <v>117</v>
      </c>
      <c r="C157" s="42">
        <f t="shared" ref="C157:N157" si="82">C154+C155+C156</f>
        <v>1827.8189828571431</v>
      </c>
      <c r="D157" s="42">
        <f t="shared" si="82"/>
        <v>1827.8189828571431</v>
      </c>
      <c r="E157" s="42">
        <f t="shared" si="82"/>
        <v>1827.8189828571431</v>
      </c>
      <c r="F157" s="42">
        <f t="shared" si="82"/>
        <v>1827.8189828571431</v>
      </c>
      <c r="G157" s="42">
        <f t="shared" si="82"/>
        <v>1827.8189828571431</v>
      </c>
      <c r="H157" s="42">
        <f t="shared" si="82"/>
        <v>1860.4023161904761</v>
      </c>
      <c r="I157" s="42">
        <f t="shared" si="82"/>
        <v>1860.4023161904761</v>
      </c>
      <c r="J157" s="42">
        <f t="shared" si="82"/>
        <v>1860.4023161904761</v>
      </c>
      <c r="K157" s="42">
        <f t="shared" si="82"/>
        <v>1860.4023161904761</v>
      </c>
      <c r="L157" s="42">
        <f t="shared" si="82"/>
        <v>1860.4023161904761</v>
      </c>
      <c r="M157" s="42">
        <f t="shared" si="82"/>
        <v>1860.4023161904761</v>
      </c>
      <c r="N157" s="42">
        <f t="shared" si="82"/>
        <v>1860.4023161904761</v>
      </c>
      <c r="O157" s="34"/>
      <c r="P157" s="34"/>
      <c r="S157" s="59" t="s">
        <v>213</v>
      </c>
      <c r="T157" s="59">
        <f t="shared" ref="T157:AE157" si="83">T155+T156</f>
        <v>51357.456754285711</v>
      </c>
      <c r="U157" s="59">
        <f t="shared" si="83"/>
        <v>51510.75691428571</v>
      </c>
      <c r="V157" s="59">
        <f t="shared" si="83"/>
        <v>51438.446914285712</v>
      </c>
      <c r="W157" s="59">
        <f t="shared" si="83"/>
        <v>51433.406914285712</v>
      </c>
      <c r="X157" s="59">
        <f t="shared" si="83"/>
        <v>51433.056914285713</v>
      </c>
      <c r="Y157" s="59">
        <f t="shared" si="83"/>
        <v>51628.486914285713</v>
      </c>
      <c r="Z157" s="59">
        <f t="shared" si="83"/>
        <v>51609.693580952378</v>
      </c>
      <c r="AA157" s="59">
        <f t="shared" si="83"/>
        <v>51608.293580952384</v>
      </c>
      <c r="AB157" s="59">
        <f t="shared" si="83"/>
        <v>51608.223580952385</v>
      </c>
      <c r="AC157" s="59">
        <f t="shared" si="83"/>
        <v>59808.153580952385</v>
      </c>
      <c r="AD157" s="59">
        <f t="shared" si="83"/>
        <v>52182.223580952385</v>
      </c>
      <c r="AE157" s="59">
        <f t="shared" si="83"/>
        <v>51648.403580952385</v>
      </c>
    </row>
    <row r="158" spans="2:31" x14ac:dyDescent="0.25">
      <c r="B158" s="45" t="s">
        <v>118</v>
      </c>
      <c r="C158" s="43">
        <f t="shared" ref="C158:N158" si="84">C153-C157</f>
        <v>-745.90698285714302</v>
      </c>
      <c r="D158" s="43">
        <f t="shared" si="84"/>
        <v>-745.90698285714302</v>
      </c>
      <c r="E158" s="43">
        <f t="shared" si="84"/>
        <v>-745.90698285714302</v>
      </c>
      <c r="F158" s="43">
        <f t="shared" si="84"/>
        <v>-745.90698285714302</v>
      </c>
      <c r="G158" s="43">
        <f t="shared" si="84"/>
        <v>-745.90698285714302</v>
      </c>
      <c r="H158" s="43">
        <f t="shared" si="84"/>
        <v>-778.49031619047605</v>
      </c>
      <c r="I158" s="43">
        <f t="shared" si="84"/>
        <v>-778.49031619047605</v>
      </c>
      <c r="J158" s="43">
        <f t="shared" si="84"/>
        <v>-778.49031619047605</v>
      </c>
      <c r="K158" s="43">
        <f t="shared" si="84"/>
        <v>-778.49031619047605</v>
      </c>
      <c r="L158" s="43">
        <f t="shared" si="84"/>
        <v>-778.49031619047605</v>
      </c>
      <c r="M158" s="43">
        <f t="shared" si="84"/>
        <v>-778.49031619047605</v>
      </c>
      <c r="N158" s="43">
        <f t="shared" si="84"/>
        <v>-778.49031619047605</v>
      </c>
      <c r="O158" s="34"/>
      <c r="P158" s="34"/>
      <c r="S158" s="34" t="s">
        <v>132</v>
      </c>
      <c r="T158" s="34">
        <f>AE60</f>
        <v>-483236.15571428568</v>
      </c>
      <c r="U158" s="34">
        <f t="shared" ref="U158:AE158" si="85">T160</f>
        <v>-524771.67646857142</v>
      </c>
      <c r="V158" s="34">
        <f t="shared" si="85"/>
        <v>-567398.96138285717</v>
      </c>
      <c r="W158" s="34">
        <f t="shared" si="85"/>
        <v>-610025.93629714288</v>
      </c>
      <c r="X158" s="34">
        <f t="shared" si="85"/>
        <v>-652652.87121142854</v>
      </c>
      <c r="Y158" s="34">
        <f t="shared" si="85"/>
        <v>-695280.45612571423</v>
      </c>
      <c r="Z158" s="34">
        <f t="shared" si="85"/>
        <v>-737906.47103999997</v>
      </c>
      <c r="AA158" s="34">
        <f t="shared" si="85"/>
        <v>-780533.69262095238</v>
      </c>
      <c r="AB158" s="34">
        <f t="shared" si="85"/>
        <v>-823160.51420190476</v>
      </c>
      <c r="AC158" s="34">
        <f t="shared" si="85"/>
        <v>-865788.2657828572</v>
      </c>
      <c r="AD158" s="34">
        <f t="shared" si="85"/>
        <v>-908414.94736380957</v>
      </c>
      <c r="AE158" s="34">
        <f t="shared" si="85"/>
        <v>-951041.698944762</v>
      </c>
    </row>
    <row r="159" spans="2:31" x14ac:dyDescent="0.25">
      <c r="B159" s="59" t="s">
        <v>81</v>
      </c>
      <c r="C159" s="59">
        <f>P67</f>
        <v>-746.32714285714292</v>
      </c>
      <c r="D159" s="59">
        <f t="shared" ref="D159:N159" si="86">C158</f>
        <v>-745.90698285714302</v>
      </c>
      <c r="E159" s="59">
        <f t="shared" si="86"/>
        <v>-745.90698285714302</v>
      </c>
      <c r="F159" s="59">
        <f t="shared" si="86"/>
        <v>-745.90698285714302</v>
      </c>
      <c r="G159" s="59">
        <f t="shared" si="86"/>
        <v>-745.90698285714302</v>
      </c>
      <c r="H159" s="59">
        <f t="shared" si="86"/>
        <v>-745.90698285714302</v>
      </c>
      <c r="I159" s="59">
        <f t="shared" si="86"/>
        <v>-778.49031619047605</v>
      </c>
      <c r="J159" s="59">
        <f t="shared" si="86"/>
        <v>-778.49031619047605</v>
      </c>
      <c r="K159" s="59">
        <f t="shared" si="86"/>
        <v>-778.49031619047605</v>
      </c>
      <c r="L159" s="59">
        <f t="shared" si="86"/>
        <v>-778.49031619047605</v>
      </c>
      <c r="M159" s="59">
        <f t="shared" si="86"/>
        <v>-778.49031619047605</v>
      </c>
      <c r="N159" s="59">
        <f t="shared" si="86"/>
        <v>-778.49031619047605</v>
      </c>
      <c r="O159" s="60" t="s">
        <v>119</v>
      </c>
      <c r="P159" s="61">
        <f>N158</f>
        <v>-778.49031619047605</v>
      </c>
      <c r="S159" s="34" t="s">
        <v>133</v>
      </c>
      <c r="T159" s="34">
        <f t="shared" ref="T159:AE159" si="87">T154-T157</f>
        <v>-41535.52075428571</v>
      </c>
      <c r="U159" s="34">
        <f t="shared" si="87"/>
        <v>-42627.284914285709</v>
      </c>
      <c r="V159" s="34">
        <f t="shared" si="87"/>
        <v>-42626.974914285711</v>
      </c>
      <c r="W159" s="34">
        <f t="shared" si="87"/>
        <v>-42626.93491428571</v>
      </c>
      <c r="X159" s="34">
        <f t="shared" si="87"/>
        <v>-42627.584914285711</v>
      </c>
      <c r="Y159" s="34">
        <f t="shared" si="87"/>
        <v>-42626.014914285712</v>
      </c>
      <c r="Z159" s="34">
        <f t="shared" si="87"/>
        <v>-42627.221580952377</v>
      </c>
      <c r="AA159" s="34">
        <f t="shared" si="87"/>
        <v>-42626.821580952383</v>
      </c>
      <c r="AB159" s="34">
        <f t="shared" si="87"/>
        <v>-42627.751580952383</v>
      </c>
      <c r="AC159" s="34">
        <f t="shared" si="87"/>
        <v>-42626.681580952383</v>
      </c>
      <c r="AD159" s="34">
        <f t="shared" si="87"/>
        <v>-42626.751580952383</v>
      </c>
      <c r="AE159" s="34">
        <f t="shared" si="87"/>
        <v>-42626.931580952383</v>
      </c>
    </row>
    <row r="160" spans="2:31" x14ac:dyDescent="0.25">
      <c r="S160" s="34" t="s">
        <v>214</v>
      </c>
      <c r="T160" s="34">
        <f t="shared" ref="T160:AE160" si="88">T158+T159</f>
        <v>-524771.67646857142</v>
      </c>
      <c r="U160" s="34">
        <f t="shared" si="88"/>
        <v>-567398.96138285717</v>
      </c>
      <c r="V160" s="34">
        <f t="shared" si="88"/>
        <v>-610025.93629714288</v>
      </c>
      <c r="W160" s="34">
        <f t="shared" si="88"/>
        <v>-652652.87121142854</v>
      </c>
      <c r="X160" s="34">
        <f t="shared" si="88"/>
        <v>-695280.45612571423</v>
      </c>
      <c r="Y160" s="34">
        <f t="shared" si="88"/>
        <v>-737906.47103999997</v>
      </c>
      <c r="Z160" s="34">
        <f t="shared" si="88"/>
        <v>-780533.69262095238</v>
      </c>
      <c r="AA160" s="34">
        <f t="shared" si="88"/>
        <v>-823160.51420190476</v>
      </c>
      <c r="AB160" s="34">
        <f t="shared" si="88"/>
        <v>-865788.2657828572</v>
      </c>
      <c r="AC160" s="34">
        <f t="shared" si="88"/>
        <v>-908414.94736380957</v>
      </c>
      <c r="AD160" s="34">
        <f t="shared" si="88"/>
        <v>-951041.698944762</v>
      </c>
      <c r="AE160" s="34">
        <f t="shared" si="88"/>
        <v>-993668.63052571437</v>
      </c>
    </row>
    <row r="162" spans="2:31" x14ac:dyDescent="0.25">
      <c r="B162" s="288" t="s">
        <v>151</v>
      </c>
      <c r="C162" s="288"/>
      <c r="D162" s="288"/>
      <c r="E162" s="288"/>
      <c r="F162" s="288"/>
      <c r="G162" s="288"/>
      <c r="H162" s="288"/>
      <c r="I162" s="288"/>
      <c r="J162" s="288"/>
      <c r="K162" s="288"/>
      <c r="L162" s="288"/>
      <c r="M162" s="288"/>
      <c r="N162" s="288"/>
      <c r="O162" s="288"/>
      <c r="P162" s="288"/>
    </row>
    <row r="163" spans="2:31" x14ac:dyDescent="0.25">
      <c r="B163" s="213"/>
      <c r="C163" s="215" t="s">
        <v>50</v>
      </c>
      <c r="D163" s="215" t="s">
        <v>51</v>
      </c>
      <c r="E163" s="215" t="s">
        <v>52</v>
      </c>
      <c r="F163" s="215" t="s">
        <v>53</v>
      </c>
      <c r="G163" s="215" t="s">
        <v>54</v>
      </c>
      <c r="H163" s="215" t="s">
        <v>55</v>
      </c>
      <c r="I163" s="215" t="s">
        <v>56</v>
      </c>
      <c r="J163" s="215" t="s">
        <v>57</v>
      </c>
      <c r="K163" s="215" t="s">
        <v>58</v>
      </c>
      <c r="L163" s="215" t="s">
        <v>59</v>
      </c>
      <c r="M163" s="215" t="s">
        <v>60</v>
      </c>
      <c r="N163" s="215" t="s">
        <v>61</v>
      </c>
      <c r="O163" s="220" t="s">
        <v>62</v>
      </c>
      <c r="P163" s="221"/>
    </row>
    <row r="164" spans="2:31" x14ac:dyDescent="0.25">
      <c r="B164" s="214"/>
      <c r="C164" s="216"/>
      <c r="D164" s="216"/>
      <c r="E164" s="216"/>
      <c r="F164" s="216"/>
      <c r="G164" s="216"/>
      <c r="H164" s="216"/>
      <c r="I164" s="216"/>
      <c r="J164" s="216"/>
      <c r="K164" s="216"/>
      <c r="L164" s="216"/>
      <c r="M164" s="216"/>
      <c r="N164" s="216"/>
      <c r="O164" s="58" t="s">
        <v>64</v>
      </c>
      <c r="P164" s="58" t="s">
        <v>65</v>
      </c>
      <c r="S164" s="228" t="s">
        <v>138</v>
      </c>
      <c r="T164" s="229"/>
      <c r="V164" s="224" t="s">
        <v>222</v>
      </c>
      <c r="W164" s="224"/>
      <c r="X164" s="224"/>
      <c r="Y164" s="224"/>
      <c r="Z164" s="224"/>
      <c r="AA164" s="224"/>
    </row>
    <row r="165" spans="2:31" ht="30" x14ac:dyDescent="0.25">
      <c r="B165" s="35" t="s">
        <v>121</v>
      </c>
      <c r="C165" s="35">
        <f t="shared" ref="C165:N165" si="89">C101</f>
        <v>6396.9359999999997</v>
      </c>
      <c r="D165" s="35">
        <f t="shared" si="89"/>
        <v>6491.4720000000007</v>
      </c>
      <c r="E165" s="35">
        <f t="shared" si="89"/>
        <v>6491.4720000000007</v>
      </c>
      <c r="F165" s="35">
        <f t="shared" si="89"/>
        <v>6491.4720000000007</v>
      </c>
      <c r="G165" s="35">
        <f t="shared" si="89"/>
        <v>6491.4720000000007</v>
      </c>
      <c r="H165" s="35">
        <f t="shared" si="89"/>
        <v>6491.4720000000007</v>
      </c>
      <c r="I165" s="35">
        <f t="shared" si="89"/>
        <v>6491.4720000000007</v>
      </c>
      <c r="J165" s="43">
        <f t="shared" si="89"/>
        <v>6491.4720000000007</v>
      </c>
      <c r="K165" s="35">
        <f t="shared" si="89"/>
        <v>6491.4720000000007</v>
      </c>
      <c r="L165" s="35">
        <f t="shared" si="89"/>
        <v>6491.4720000000007</v>
      </c>
      <c r="M165" s="35">
        <f t="shared" si="89"/>
        <v>6491.4720000000007</v>
      </c>
      <c r="N165" s="35">
        <f t="shared" si="89"/>
        <v>6491.4720000000007</v>
      </c>
      <c r="O165" s="34"/>
      <c r="P165" s="34"/>
      <c r="S165" s="143" t="s">
        <v>1</v>
      </c>
      <c r="T165" s="21">
        <f>P98</f>
        <v>64914.719999999994</v>
      </c>
      <c r="V165" s="144" t="s">
        <v>2</v>
      </c>
      <c r="W165" s="145" t="s">
        <v>3</v>
      </c>
      <c r="X165" s="145" t="s">
        <v>4</v>
      </c>
      <c r="Y165" s="145" t="s">
        <v>5</v>
      </c>
      <c r="Z165" s="146" t="s">
        <v>6</v>
      </c>
      <c r="AA165" s="147" t="s">
        <v>5</v>
      </c>
      <c r="AB165" s="287"/>
      <c r="AC165" s="286"/>
      <c r="AD165" s="286"/>
      <c r="AE165" s="286"/>
    </row>
    <row r="166" spans="2:31" x14ac:dyDescent="0.25">
      <c r="B166" s="34" t="s">
        <v>122</v>
      </c>
      <c r="C166" s="34"/>
      <c r="D166" s="34"/>
      <c r="E166" s="34"/>
      <c r="F166" s="34"/>
      <c r="G166" s="34"/>
      <c r="H166" s="34"/>
      <c r="I166" s="34"/>
      <c r="J166" s="34"/>
      <c r="K166" s="34"/>
      <c r="L166" s="34"/>
      <c r="M166" s="34"/>
      <c r="N166" s="34"/>
      <c r="O166" s="34"/>
      <c r="P166" s="34"/>
      <c r="S166" s="143" t="s">
        <v>67</v>
      </c>
      <c r="T166" s="21">
        <v>0</v>
      </c>
      <c r="V166" s="148" t="s">
        <v>8</v>
      </c>
      <c r="W166" s="148">
        <f>SUM(W167:W170)</f>
        <v>214000</v>
      </c>
      <c r="X166" s="148">
        <f>SUM(X167:X168)</f>
        <v>54100</v>
      </c>
      <c r="Y166" s="148">
        <f>SUM(Y167:Y168)</f>
        <v>159900</v>
      </c>
      <c r="Z166" s="148" t="s">
        <v>9</v>
      </c>
      <c r="AA166" s="149">
        <f>SUM(AA167:AA170)</f>
        <v>-884288.40420952393</v>
      </c>
      <c r="AB166" s="287"/>
      <c r="AC166" s="286"/>
      <c r="AD166" s="286"/>
      <c r="AE166" s="286"/>
    </row>
    <row r="167" spans="2:31" ht="30" x14ac:dyDescent="0.25">
      <c r="B167" s="59" t="s">
        <v>123</v>
      </c>
      <c r="C167" s="59">
        <f t="shared" ref="C167:N167" si="90">C166+C165</f>
        <v>6396.9359999999997</v>
      </c>
      <c r="D167" s="59">
        <f t="shared" si="90"/>
        <v>6491.4720000000007</v>
      </c>
      <c r="E167" s="59">
        <f t="shared" si="90"/>
        <v>6491.4720000000007</v>
      </c>
      <c r="F167" s="59">
        <f t="shared" si="90"/>
        <v>6491.4720000000007</v>
      </c>
      <c r="G167" s="59">
        <f t="shared" si="90"/>
        <v>6491.4720000000007</v>
      </c>
      <c r="H167" s="59">
        <f t="shared" si="90"/>
        <v>6491.4720000000007</v>
      </c>
      <c r="I167" s="59">
        <f t="shared" si="90"/>
        <v>6491.4720000000007</v>
      </c>
      <c r="J167" s="59">
        <f t="shared" si="90"/>
        <v>6491.4720000000007</v>
      </c>
      <c r="K167" s="59">
        <f t="shared" si="90"/>
        <v>6491.4720000000007</v>
      </c>
      <c r="L167" s="59">
        <f t="shared" si="90"/>
        <v>6491.4720000000007</v>
      </c>
      <c r="M167" s="59">
        <f t="shared" si="90"/>
        <v>6491.4720000000007</v>
      </c>
      <c r="N167" s="59">
        <f t="shared" si="90"/>
        <v>6491.4720000000007</v>
      </c>
      <c r="O167" s="34"/>
      <c r="P167" s="34"/>
      <c r="S167" s="144" t="s">
        <v>10</v>
      </c>
      <c r="T167" s="131">
        <f>T165+T166</f>
        <v>64914.719999999994</v>
      </c>
      <c r="V167" s="150" t="s">
        <v>11</v>
      </c>
      <c r="W167" s="150">
        <f>W74</f>
        <v>159000</v>
      </c>
      <c r="X167" s="150">
        <f>X74+P124*0.75</f>
        <v>19750</v>
      </c>
      <c r="Y167" s="150">
        <f>W167-X167</f>
        <v>139250</v>
      </c>
      <c r="Z167" s="150" t="s">
        <v>12</v>
      </c>
      <c r="AA167" s="151">
        <f>AA74</f>
        <v>80000</v>
      </c>
      <c r="AB167" s="162"/>
      <c r="AC167" s="118"/>
      <c r="AD167" s="118"/>
      <c r="AE167" s="118"/>
    </row>
    <row r="168" spans="2:31" x14ac:dyDescent="0.25">
      <c r="B168" s="34" t="s">
        <v>124</v>
      </c>
      <c r="C168" s="34">
        <f t="shared" ref="C168:N168" si="91">C110</f>
        <v>2077.2710400000001</v>
      </c>
      <c r="D168" s="34">
        <f t="shared" si="91"/>
        <v>2077.2710400000001</v>
      </c>
      <c r="E168" s="34">
        <f t="shared" si="91"/>
        <v>2077.2710400000001</v>
      </c>
      <c r="F168" s="34">
        <f t="shared" si="91"/>
        <v>2077.2710400000001</v>
      </c>
      <c r="G168" s="34">
        <f t="shared" si="91"/>
        <v>2077.2710400000001</v>
      </c>
      <c r="H168" s="34">
        <f t="shared" si="91"/>
        <v>2077.2710400000001</v>
      </c>
      <c r="I168" s="34">
        <f t="shared" si="91"/>
        <v>2077.2710400000001</v>
      </c>
      <c r="J168" s="34">
        <f t="shared" si="91"/>
        <v>2077.2710400000001</v>
      </c>
      <c r="K168" s="34">
        <f t="shared" si="91"/>
        <v>2077.2710400000001</v>
      </c>
      <c r="L168" s="34">
        <f t="shared" si="91"/>
        <v>2077.2710400000001</v>
      </c>
      <c r="M168" s="34">
        <f t="shared" si="91"/>
        <v>2077.2710400000001</v>
      </c>
      <c r="N168" s="34">
        <f t="shared" si="91"/>
        <v>2077.2710400000001</v>
      </c>
      <c r="O168" s="34"/>
      <c r="P168" s="34"/>
      <c r="S168" s="143" t="s">
        <v>70</v>
      </c>
      <c r="T168" s="21">
        <f>P107</f>
        <v>20772.7104</v>
      </c>
      <c r="V168" s="150" t="s">
        <v>14</v>
      </c>
      <c r="W168" s="150">
        <f>W75</f>
        <v>55000</v>
      </c>
      <c r="X168" s="150">
        <f>X75+P124*0.25</f>
        <v>34350</v>
      </c>
      <c r="Y168" s="150">
        <f>W168-X168</f>
        <v>20650</v>
      </c>
      <c r="Z168" s="150" t="s">
        <v>15</v>
      </c>
      <c r="AA168" s="151">
        <v>5000</v>
      </c>
      <c r="AB168" s="152"/>
    </row>
    <row r="169" spans="2:31" x14ac:dyDescent="0.25">
      <c r="B169" s="34" t="s">
        <v>125</v>
      </c>
      <c r="C169" s="34"/>
      <c r="D169" s="34"/>
      <c r="E169" s="34"/>
      <c r="F169" s="34"/>
      <c r="G169" s="34"/>
      <c r="H169" s="34"/>
      <c r="I169" s="34"/>
      <c r="J169" s="34"/>
      <c r="K169" s="34"/>
      <c r="L169" s="34"/>
      <c r="M169" s="34"/>
      <c r="N169" s="34"/>
      <c r="O169" s="34"/>
      <c r="P169" s="34"/>
      <c r="S169" s="143" t="s">
        <v>73</v>
      </c>
      <c r="T169" s="21">
        <f>P116+P118+P119</f>
        <v>90036.845238095237</v>
      </c>
      <c r="V169" s="148"/>
      <c r="W169" s="148"/>
      <c r="X169" s="148"/>
      <c r="Y169" s="148"/>
      <c r="Z169" s="150" t="s">
        <v>17</v>
      </c>
      <c r="AA169" s="151">
        <f>AA76+AA77</f>
        <v>-472451.62857142859</v>
      </c>
      <c r="AB169" s="152"/>
    </row>
    <row r="170" spans="2:31" x14ac:dyDescent="0.25">
      <c r="B170" s="34" t="s">
        <v>126</v>
      </c>
      <c r="C170" s="34">
        <f t="shared" ref="C170:N170" si="92">C126</f>
        <v>25625</v>
      </c>
      <c r="D170" s="34">
        <f t="shared" si="92"/>
        <v>25625</v>
      </c>
      <c r="E170" s="34">
        <f t="shared" si="92"/>
        <v>25625</v>
      </c>
      <c r="F170" s="34">
        <f t="shared" si="92"/>
        <v>25625</v>
      </c>
      <c r="G170" s="34">
        <f t="shared" si="92"/>
        <v>25625</v>
      </c>
      <c r="H170" s="34">
        <f t="shared" si="92"/>
        <v>25625</v>
      </c>
      <c r="I170" s="34">
        <f t="shared" si="92"/>
        <v>25625</v>
      </c>
      <c r="J170" s="34">
        <f t="shared" si="92"/>
        <v>25625</v>
      </c>
      <c r="K170" s="34">
        <f t="shared" si="92"/>
        <v>25625</v>
      </c>
      <c r="L170" s="34">
        <f t="shared" si="92"/>
        <v>25625</v>
      </c>
      <c r="M170" s="34">
        <f t="shared" si="92"/>
        <v>25625</v>
      </c>
      <c r="N170" s="34">
        <f t="shared" si="92"/>
        <v>25625</v>
      </c>
      <c r="O170" s="34"/>
      <c r="P170" s="34"/>
      <c r="S170" s="143" t="s">
        <v>18</v>
      </c>
      <c r="T170" s="21">
        <f>P134</f>
        <v>8200</v>
      </c>
      <c r="V170" s="150"/>
      <c r="W170" s="150"/>
      <c r="X170" s="150"/>
      <c r="Y170" s="150"/>
      <c r="Z170" s="150" t="s">
        <v>19</v>
      </c>
      <c r="AA170" s="151">
        <f>T182</f>
        <v>-496836.77563809528</v>
      </c>
      <c r="AB170" s="152"/>
    </row>
    <row r="171" spans="2:31" x14ac:dyDescent="0.25">
      <c r="B171" s="34" t="s">
        <v>21</v>
      </c>
      <c r="C171" s="34">
        <f t="shared" ref="C171:N171" si="93">C128</f>
        <v>10250</v>
      </c>
      <c r="D171" s="34">
        <f t="shared" si="93"/>
        <v>10250</v>
      </c>
      <c r="E171" s="34">
        <f t="shared" si="93"/>
        <v>10250</v>
      </c>
      <c r="F171" s="34">
        <f t="shared" si="93"/>
        <v>10250</v>
      </c>
      <c r="G171" s="34">
        <f t="shared" si="93"/>
        <v>10250</v>
      </c>
      <c r="H171" s="34">
        <f t="shared" si="93"/>
        <v>10250</v>
      </c>
      <c r="I171" s="34">
        <f t="shared" si="93"/>
        <v>10250</v>
      </c>
      <c r="J171" s="34">
        <f t="shared" si="93"/>
        <v>10250</v>
      </c>
      <c r="K171" s="34">
        <f t="shared" si="93"/>
        <v>10250</v>
      </c>
      <c r="L171" s="34">
        <f t="shared" si="93"/>
        <v>10250</v>
      </c>
      <c r="M171" s="34">
        <f t="shared" si="93"/>
        <v>10250</v>
      </c>
      <c r="N171" s="34">
        <f t="shared" si="93"/>
        <v>10250</v>
      </c>
      <c r="O171" s="34"/>
      <c r="P171" s="34"/>
      <c r="S171" s="143" t="s">
        <v>20</v>
      </c>
      <c r="T171" s="21">
        <f>P126</f>
        <v>307500</v>
      </c>
      <c r="V171" s="152"/>
      <c r="W171" s="153"/>
      <c r="Y171" s="153"/>
      <c r="Z171" s="151"/>
      <c r="AA171" s="149"/>
      <c r="AB171" s="162"/>
      <c r="AC171" s="118"/>
      <c r="AD171" s="118"/>
      <c r="AE171" s="118"/>
    </row>
    <row r="172" spans="2:31" x14ac:dyDescent="0.25">
      <c r="B172" s="34" t="s">
        <v>102</v>
      </c>
      <c r="C172" s="34">
        <f t="shared" ref="C172:N172" si="94">C135</f>
        <v>0</v>
      </c>
      <c r="D172" s="34">
        <f t="shared" si="94"/>
        <v>0</v>
      </c>
      <c r="E172" s="34">
        <f t="shared" si="94"/>
        <v>0</v>
      </c>
      <c r="F172" s="34">
        <f t="shared" si="94"/>
        <v>0</v>
      </c>
      <c r="G172" s="34">
        <f t="shared" si="94"/>
        <v>0</v>
      </c>
      <c r="H172" s="34">
        <f t="shared" si="94"/>
        <v>0</v>
      </c>
      <c r="I172" s="34">
        <f t="shared" si="94"/>
        <v>0</v>
      </c>
      <c r="J172" s="34">
        <f t="shared" si="94"/>
        <v>0</v>
      </c>
      <c r="K172" s="34">
        <f t="shared" si="94"/>
        <v>0</v>
      </c>
      <c r="L172" s="34">
        <f t="shared" si="94"/>
        <v>8200</v>
      </c>
      <c r="M172" s="34">
        <f t="shared" si="94"/>
        <v>0</v>
      </c>
      <c r="N172" s="34">
        <f t="shared" si="94"/>
        <v>0</v>
      </c>
      <c r="O172" s="34"/>
      <c r="P172" s="34"/>
      <c r="S172" s="143" t="s">
        <v>21</v>
      </c>
      <c r="T172" s="21">
        <f>P127</f>
        <v>123000</v>
      </c>
      <c r="V172" s="148" t="s">
        <v>22</v>
      </c>
      <c r="W172" s="148">
        <f>SUM(W173:W175)</f>
        <v>-975422.89452571434</v>
      </c>
      <c r="X172" s="148">
        <f>SUM(X173:X175)</f>
        <v>0</v>
      </c>
      <c r="Y172" s="148">
        <f>SUM(Y173:Y175)</f>
        <v>-975422.89452571434</v>
      </c>
      <c r="Z172" s="148" t="s">
        <v>23</v>
      </c>
      <c r="AA172" s="149">
        <f>SUM(AA173:AA176)</f>
        <v>49743.50968380952</v>
      </c>
      <c r="AB172" s="152"/>
    </row>
    <row r="173" spans="2:31" ht="30" x14ac:dyDescent="0.25">
      <c r="B173" s="34" t="s">
        <v>127</v>
      </c>
      <c r="C173" s="34">
        <f t="shared" ref="C173:N173" si="95">C122</f>
        <v>8889.6428571428569</v>
      </c>
      <c r="D173" s="34">
        <f t="shared" si="95"/>
        <v>8889.6428571428569</v>
      </c>
      <c r="E173" s="34">
        <f t="shared" si="95"/>
        <v>8889.6428571428569</v>
      </c>
      <c r="F173" s="34">
        <f t="shared" si="95"/>
        <v>8889.6428571428569</v>
      </c>
      <c r="G173" s="34">
        <f t="shared" si="95"/>
        <v>8889.6428571428569</v>
      </c>
      <c r="H173" s="34">
        <f t="shared" si="95"/>
        <v>9085.1428571428569</v>
      </c>
      <c r="I173" s="34">
        <f t="shared" si="95"/>
        <v>9085.1428571428569</v>
      </c>
      <c r="J173" s="34">
        <f t="shared" si="95"/>
        <v>9085.1428571428569</v>
      </c>
      <c r="K173" s="34">
        <f t="shared" si="95"/>
        <v>9085.1428571428569</v>
      </c>
      <c r="L173" s="34">
        <f t="shared" si="95"/>
        <v>9085.1428571428569</v>
      </c>
      <c r="M173" s="34">
        <f t="shared" si="95"/>
        <v>9085.1428571428569</v>
      </c>
      <c r="N173" s="34">
        <f t="shared" si="95"/>
        <v>9085.1428571428569</v>
      </c>
      <c r="O173" s="34"/>
      <c r="P173" s="34"/>
      <c r="S173" s="143" t="s">
        <v>75</v>
      </c>
      <c r="T173" s="21">
        <f>P124</f>
        <v>7500</v>
      </c>
      <c r="V173" s="150" t="s">
        <v>25</v>
      </c>
      <c r="W173" s="150">
        <v>15000</v>
      </c>
      <c r="X173" s="150"/>
      <c r="Y173" s="150">
        <f>W173-X173</f>
        <v>15000</v>
      </c>
      <c r="Z173" s="150" t="s">
        <v>26</v>
      </c>
      <c r="AA173" s="151">
        <v>0</v>
      </c>
      <c r="AB173" s="152"/>
    </row>
    <row r="174" spans="2:31" x14ac:dyDescent="0.25">
      <c r="B174" s="34" t="s">
        <v>128</v>
      </c>
      <c r="C174" s="34">
        <f t="shared" ref="C174:N174" si="96">C138</f>
        <v>5175</v>
      </c>
      <c r="D174" s="34">
        <f t="shared" si="96"/>
        <v>5175</v>
      </c>
      <c r="E174" s="34">
        <f t="shared" si="96"/>
        <v>5175</v>
      </c>
      <c r="F174" s="34">
        <f t="shared" si="96"/>
        <v>5175</v>
      </c>
      <c r="G174" s="34">
        <f t="shared" si="96"/>
        <v>5175</v>
      </c>
      <c r="H174" s="34">
        <f t="shared" si="96"/>
        <v>5175</v>
      </c>
      <c r="I174" s="34">
        <f t="shared" si="96"/>
        <v>5175</v>
      </c>
      <c r="J174" s="34">
        <f t="shared" si="96"/>
        <v>5175</v>
      </c>
      <c r="K174" s="34">
        <f t="shared" si="96"/>
        <v>5175</v>
      </c>
      <c r="L174" s="34">
        <f t="shared" si="96"/>
        <v>5175</v>
      </c>
      <c r="M174" s="34">
        <f t="shared" si="96"/>
        <v>5175</v>
      </c>
      <c r="N174" s="34">
        <f t="shared" si="96"/>
        <v>5175</v>
      </c>
      <c r="O174" s="34"/>
      <c r="P174" s="34"/>
      <c r="S174" s="144" t="s">
        <v>76</v>
      </c>
      <c r="T174" s="131">
        <f>SUM(T168:T173)</f>
        <v>557009.55563809525</v>
      </c>
      <c r="V174" s="150" t="s">
        <v>28</v>
      </c>
      <c r="W174" s="150">
        <f>P101</f>
        <v>3245.7360000000003</v>
      </c>
      <c r="X174" s="150"/>
      <c r="Y174" s="150">
        <f>W174-X174</f>
        <v>3245.7360000000003</v>
      </c>
      <c r="Z174" s="150" t="s">
        <v>29</v>
      </c>
      <c r="AA174" s="151">
        <v>0</v>
      </c>
      <c r="AB174" s="162"/>
      <c r="AC174" s="118"/>
      <c r="AD174" s="118"/>
      <c r="AE174" s="118"/>
    </row>
    <row r="175" spans="2:31" x14ac:dyDescent="0.25">
      <c r="B175" s="34" t="s">
        <v>129</v>
      </c>
      <c r="C175" s="34">
        <f t="shared" ref="C175:N175" si="97">C146</f>
        <v>0</v>
      </c>
      <c r="D175" s="34">
        <f t="shared" si="97"/>
        <v>0</v>
      </c>
      <c r="E175" s="34">
        <f t="shared" si="97"/>
        <v>0</v>
      </c>
      <c r="F175" s="34">
        <f t="shared" si="97"/>
        <v>0</v>
      </c>
      <c r="G175" s="34">
        <f t="shared" si="97"/>
        <v>0</v>
      </c>
      <c r="H175" s="34">
        <f t="shared" si="97"/>
        <v>0</v>
      </c>
      <c r="I175" s="34">
        <f t="shared" si="97"/>
        <v>0</v>
      </c>
      <c r="J175" s="34">
        <f t="shared" si="97"/>
        <v>0</v>
      </c>
      <c r="K175" s="34">
        <f t="shared" si="97"/>
        <v>0</v>
      </c>
      <c r="L175" s="34">
        <f t="shared" si="97"/>
        <v>0</v>
      </c>
      <c r="M175" s="34">
        <f t="shared" si="97"/>
        <v>0</v>
      </c>
      <c r="N175" s="34">
        <f t="shared" si="97"/>
        <v>0</v>
      </c>
      <c r="O175" s="34"/>
      <c r="P175" s="34"/>
      <c r="S175" s="154" t="s">
        <v>30</v>
      </c>
      <c r="T175" s="155">
        <f>T167-T174</f>
        <v>-492094.83563809528</v>
      </c>
      <c r="V175" s="150" t="s">
        <v>34</v>
      </c>
      <c r="W175" s="150">
        <f>AE160</f>
        <v>-993668.63052571437</v>
      </c>
      <c r="X175" s="150"/>
      <c r="Y175" s="150">
        <f>W175-X175</f>
        <v>-993668.63052571437</v>
      </c>
      <c r="Z175" s="150" t="s">
        <v>32</v>
      </c>
      <c r="AA175" s="151">
        <f>P159+P128</f>
        <v>9471.5096838095233</v>
      </c>
      <c r="AB175" s="152"/>
    </row>
    <row r="176" spans="2:31" x14ac:dyDescent="0.25">
      <c r="B176" s="34" t="s">
        <v>130</v>
      </c>
      <c r="C176" s="34">
        <f>C159</f>
        <v>-746.32714285714292</v>
      </c>
      <c r="D176" s="34">
        <f t="shared" ref="D176:N176" si="98">D159</f>
        <v>-745.90698285714302</v>
      </c>
      <c r="E176" s="34">
        <f t="shared" si="98"/>
        <v>-745.90698285714302</v>
      </c>
      <c r="F176" s="34">
        <f t="shared" si="98"/>
        <v>-745.90698285714302</v>
      </c>
      <c r="G176" s="34">
        <f t="shared" si="98"/>
        <v>-745.90698285714302</v>
      </c>
      <c r="H176" s="34">
        <f t="shared" si="98"/>
        <v>-745.90698285714302</v>
      </c>
      <c r="I176" s="34">
        <f t="shared" si="98"/>
        <v>-778.49031619047605</v>
      </c>
      <c r="J176" s="34">
        <f t="shared" si="98"/>
        <v>-778.49031619047605</v>
      </c>
      <c r="K176" s="34">
        <f t="shared" si="98"/>
        <v>-778.49031619047605</v>
      </c>
      <c r="L176" s="34">
        <f t="shared" si="98"/>
        <v>-778.49031619047605</v>
      </c>
      <c r="M176" s="34">
        <f t="shared" si="98"/>
        <v>-778.49031619047605</v>
      </c>
      <c r="N176" s="34">
        <f t="shared" si="98"/>
        <v>-778.49031619047605</v>
      </c>
      <c r="O176" s="34"/>
      <c r="P176" s="34"/>
      <c r="S176" s="144" t="s">
        <v>33</v>
      </c>
      <c r="T176" s="131">
        <v>0</v>
      </c>
      <c r="V176" s="150"/>
      <c r="W176" s="150"/>
      <c r="X176" s="150"/>
      <c r="Y176" s="150"/>
      <c r="Z176" s="150" t="s">
        <v>221</v>
      </c>
      <c r="AA176" s="151">
        <f>SUM(T153:AE153)+AA83</f>
        <v>40272</v>
      </c>
      <c r="AB176" s="152"/>
    </row>
    <row r="177" spans="2:28" x14ac:dyDescent="0.25">
      <c r="B177" s="59" t="s">
        <v>131</v>
      </c>
      <c r="C177" s="59">
        <f>SUM(C168:C176)</f>
        <v>51270.586754285709</v>
      </c>
      <c r="D177" s="59">
        <f t="shared" ref="D177:N177" si="99">SUM(D168:D176)</f>
        <v>51271.00691428571</v>
      </c>
      <c r="E177" s="59">
        <f t="shared" si="99"/>
        <v>51271.00691428571</v>
      </c>
      <c r="F177" s="59">
        <f t="shared" si="99"/>
        <v>51271.00691428571</v>
      </c>
      <c r="G177" s="59">
        <f t="shared" si="99"/>
        <v>51271.00691428571</v>
      </c>
      <c r="H177" s="59">
        <f t="shared" si="99"/>
        <v>51466.50691428571</v>
      </c>
      <c r="I177" s="59">
        <f t="shared" si="99"/>
        <v>51433.923580952382</v>
      </c>
      <c r="J177" s="59">
        <f t="shared" si="99"/>
        <v>51433.923580952382</v>
      </c>
      <c r="K177" s="59">
        <f t="shared" si="99"/>
        <v>51433.923580952382</v>
      </c>
      <c r="L177" s="59">
        <f t="shared" si="99"/>
        <v>59633.923580952382</v>
      </c>
      <c r="M177" s="59">
        <f t="shared" si="99"/>
        <v>51433.923580952382</v>
      </c>
      <c r="N177" s="59">
        <f t="shared" si="99"/>
        <v>51433.923580952382</v>
      </c>
      <c r="O177" s="34"/>
      <c r="P177" s="34"/>
      <c r="S177" s="143" t="s">
        <v>36</v>
      </c>
      <c r="T177" s="21">
        <f>P136+SUM(T156:AE156)</f>
        <v>4741.9400000000005</v>
      </c>
      <c r="V177" s="156" t="s">
        <v>38</v>
      </c>
      <c r="W177" s="156">
        <f>W166+W172</f>
        <v>-761422.89452571434</v>
      </c>
      <c r="X177" s="156">
        <f>X166</f>
        <v>54100</v>
      </c>
      <c r="Y177" s="156">
        <f>W177-X177</f>
        <v>-815522.89452571434</v>
      </c>
      <c r="Z177" s="156" t="s">
        <v>39</v>
      </c>
      <c r="AA177" s="157">
        <f>AA166+AA172</f>
        <v>-834544.89452571445</v>
      </c>
      <c r="AB177" s="152"/>
    </row>
    <row r="178" spans="2:28" x14ac:dyDescent="0.25">
      <c r="B178" s="59" t="s">
        <v>132</v>
      </c>
      <c r="C178" s="59">
        <f>W82</f>
        <v>-483236.15571428568</v>
      </c>
      <c r="D178" s="59">
        <f t="shared" ref="D178:N178" si="100">C180</f>
        <v>-528109.80646857142</v>
      </c>
      <c r="E178" s="59">
        <f t="shared" si="100"/>
        <v>-572889.34138285718</v>
      </c>
      <c r="F178" s="59">
        <f t="shared" si="100"/>
        <v>-617668.87629714294</v>
      </c>
      <c r="G178" s="59">
        <f t="shared" si="100"/>
        <v>-662448.4112114287</v>
      </c>
      <c r="H178" s="59">
        <f t="shared" si="100"/>
        <v>-707227.94612571446</v>
      </c>
      <c r="I178" s="59">
        <f t="shared" si="100"/>
        <v>-752202.98104000022</v>
      </c>
      <c r="J178" s="59">
        <f t="shared" si="100"/>
        <v>-797145.4326209526</v>
      </c>
      <c r="K178" s="59">
        <f t="shared" si="100"/>
        <v>-842087.88420190499</v>
      </c>
      <c r="L178" s="59">
        <f t="shared" si="100"/>
        <v>-887030.33578285738</v>
      </c>
      <c r="M178" s="59">
        <f t="shared" si="100"/>
        <v>-940172.78736380977</v>
      </c>
      <c r="N178" s="59">
        <f t="shared" si="100"/>
        <v>-985115.23894476215</v>
      </c>
      <c r="O178" s="34"/>
      <c r="P178" s="34"/>
      <c r="S178" s="144" t="s">
        <v>37</v>
      </c>
      <c r="T178" s="131">
        <f>T177</f>
        <v>4741.9400000000005</v>
      </c>
      <c r="Z178" s="158" t="s">
        <v>42</v>
      </c>
      <c r="AA178" s="159">
        <f>Y177-AA177</f>
        <v>19022.000000000116</v>
      </c>
    </row>
    <row r="179" spans="2:28" x14ac:dyDescent="0.25">
      <c r="B179" s="34" t="s">
        <v>133</v>
      </c>
      <c r="C179" s="34">
        <f t="shared" ref="C179:N179" si="101">C167-C177</f>
        <v>-44873.650754285707</v>
      </c>
      <c r="D179" s="34">
        <f t="shared" si="101"/>
        <v>-44779.534914285709</v>
      </c>
      <c r="E179" s="34">
        <f t="shared" si="101"/>
        <v>-44779.534914285709</v>
      </c>
      <c r="F179" s="34">
        <f t="shared" si="101"/>
        <v>-44779.534914285709</v>
      </c>
      <c r="G179" s="34">
        <f t="shared" si="101"/>
        <v>-44779.534914285709</v>
      </c>
      <c r="H179" s="34">
        <f t="shared" si="101"/>
        <v>-44975.034914285709</v>
      </c>
      <c r="I179" s="34">
        <f t="shared" si="101"/>
        <v>-44942.45158095238</v>
      </c>
      <c r="J179" s="34">
        <f t="shared" si="101"/>
        <v>-44942.45158095238</v>
      </c>
      <c r="K179" s="34">
        <f t="shared" si="101"/>
        <v>-44942.45158095238</v>
      </c>
      <c r="L179" s="34">
        <f t="shared" si="101"/>
        <v>-53142.45158095238</v>
      </c>
      <c r="M179" s="34">
        <f t="shared" si="101"/>
        <v>-44942.45158095238</v>
      </c>
      <c r="N179" s="34">
        <f t="shared" si="101"/>
        <v>-44942.45158095238</v>
      </c>
      <c r="O179" s="34"/>
      <c r="P179" s="34"/>
      <c r="S179" s="154" t="s">
        <v>40</v>
      </c>
      <c r="T179" s="155">
        <f>T176-T178</f>
        <v>-4741.9400000000005</v>
      </c>
    </row>
    <row r="180" spans="2:28" x14ac:dyDescent="0.25">
      <c r="B180" s="59" t="s">
        <v>134</v>
      </c>
      <c r="C180" s="59">
        <f t="shared" ref="C180:N180" si="102">C178+C179</f>
        <v>-528109.80646857142</v>
      </c>
      <c r="D180" s="59">
        <f t="shared" si="102"/>
        <v>-572889.34138285718</v>
      </c>
      <c r="E180" s="59">
        <f t="shared" si="102"/>
        <v>-617668.87629714294</v>
      </c>
      <c r="F180" s="59">
        <f t="shared" si="102"/>
        <v>-662448.4112114287</v>
      </c>
      <c r="G180" s="59">
        <f t="shared" si="102"/>
        <v>-707227.94612571446</v>
      </c>
      <c r="H180" s="59">
        <f t="shared" si="102"/>
        <v>-752202.98104000022</v>
      </c>
      <c r="I180" s="59">
        <f t="shared" si="102"/>
        <v>-797145.4326209526</v>
      </c>
      <c r="J180" s="59">
        <f t="shared" si="102"/>
        <v>-842087.88420190499</v>
      </c>
      <c r="K180" s="59">
        <f t="shared" si="102"/>
        <v>-887030.33578285738</v>
      </c>
      <c r="L180" s="59">
        <f t="shared" si="102"/>
        <v>-940172.78736380977</v>
      </c>
      <c r="M180" s="59">
        <f t="shared" si="102"/>
        <v>-985115.23894476215</v>
      </c>
      <c r="N180" s="59">
        <f t="shared" si="102"/>
        <v>-1030057.6905257145</v>
      </c>
      <c r="O180" s="60" t="s">
        <v>135</v>
      </c>
      <c r="P180" s="61">
        <f>N180</f>
        <v>-1030057.6905257145</v>
      </c>
      <c r="S180" s="154" t="s">
        <v>43</v>
      </c>
      <c r="T180" s="155">
        <f>T175-(-T179)</f>
        <v>-496836.77563809528</v>
      </c>
    </row>
    <row r="181" spans="2:28" x14ac:dyDescent="0.25">
      <c r="S181" s="154" t="s">
        <v>45</v>
      </c>
      <c r="T181" s="21"/>
    </row>
    <row r="182" spans="2:28" x14ac:dyDescent="0.25">
      <c r="S182" s="160" t="s">
        <v>47</v>
      </c>
      <c r="T182" s="161">
        <f>T180</f>
        <v>-496836.77563809528</v>
      </c>
    </row>
    <row r="183" spans="2:28" ht="28.5" x14ac:dyDescent="0.45">
      <c r="B183" s="289" t="s">
        <v>152</v>
      </c>
      <c r="C183" s="289"/>
      <c r="D183" s="289"/>
      <c r="E183" s="289"/>
      <c r="F183" s="289"/>
      <c r="G183" s="289"/>
      <c r="H183" s="289"/>
      <c r="I183" s="289"/>
      <c r="J183" s="289"/>
      <c r="K183" s="289"/>
      <c r="L183" s="289"/>
      <c r="M183" s="289"/>
      <c r="N183" s="289"/>
      <c r="O183" s="289"/>
      <c r="P183" s="289"/>
    </row>
    <row r="186" spans="2:28" x14ac:dyDescent="0.25">
      <c r="B186" s="288" t="s">
        <v>153</v>
      </c>
      <c r="C186" s="288"/>
      <c r="D186" s="288"/>
      <c r="E186" s="288"/>
      <c r="F186" s="288"/>
      <c r="G186" s="288"/>
      <c r="H186" s="288"/>
      <c r="I186" s="288"/>
      <c r="J186" s="288"/>
      <c r="K186" s="288"/>
      <c r="L186" s="288"/>
      <c r="M186" s="288"/>
      <c r="N186" s="288"/>
      <c r="O186" s="288"/>
      <c r="P186" s="288"/>
    </row>
    <row r="187" spans="2:28" x14ac:dyDescent="0.25">
      <c r="B187" s="213"/>
      <c r="C187" s="215" t="s">
        <v>50</v>
      </c>
      <c r="D187" s="215" t="s">
        <v>51</v>
      </c>
      <c r="E187" s="215" t="s">
        <v>52</v>
      </c>
      <c r="F187" s="215" t="s">
        <v>53</v>
      </c>
      <c r="G187" s="215" t="s">
        <v>54</v>
      </c>
      <c r="H187" s="215" t="s">
        <v>55</v>
      </c>
      <c r="I187" s="215" t="s">
        <v>56</v>
      </c>
      <c r="J187" s="215" t="s">
        <v>57</v>
      </c>
      <c r="K187" s="215" t="s">
        <v>58</v>
      </c>
      <c r="L187" s="215" t="s">
        <v>59</v>
      </c>
      <c r="M187" s="215" t="s">
        <v>60</v>
      </c>
      <c r="N187" s="215" t="s">
        <v>61</v>
      </c>
      <c r="O187" s="220" t="s">
        <v>62</v>
      </c>
      <c r="P187" s="221"/>
    </row>
    <row r="188" spans="2:28" x14ac:dyDescent="0.25">
      <c r="B188" s="214"/>
      <c r="C188" s="216"/>
      <c r="D188" s="216"/>
      <c r="E188" s="216"/>
      <c r="F188" s="216"/>
      <c r="G188" s="216"/>
      <c r="H188" s="216"/>
      <c r="I188" s="216"/>
      <c r="J188" s="216"/>
      <c r="K188" s="216"/>
      <c r="L188" s="216"/>
      <c r="M188" s="216"/>
      <c r="N188" s="216"/>
      <c r="O188" s="58" t="s">
        <v>64</v>
      </c>
      <c r="P188" s="58" t="s">
        <v>65</v>
      </c>
    </row>
    <row r="189" spans="2:28" x14ac:dyDescent="0.25">
      <c r="B189" s="35" t="s">
        <v>66</v>
      </c>
      <c r="C189" s="35">
        <f>$P$98*1.03/12</f>
        <v>5571.8467999999993</v>
      </c>
      <c r="D189" s="35">
        <f t="shared" ref="D189:N189" si="103">$P$98*1.03/12</f>
        <v>5571.8467999999993</v>
      </c>
      <c r="E189" s="35">
        <f t="shared" si="103"/>
        <v>5571.8467999999993</v>
      </c>
      <c r="F189" s="35">
        <f t="shared" si="103"/>
        <v>5571.8467999999993</v>
      </c>
      <c r="G189" s="35">
        <f t="shared" si="103"/>
        <v>5571.8467999999993</v>
      </c>
      <c r="H189" s="35">
        <f t="shared" si="103"/>
        <v>5571.8467999999993</v>
      </c>
      <c r="I189" s="35">
        <f t="shared" si="103"/>
        <v>5571.8467999999993</v>
      </c>
      <c r="J189" s="35">
        <f t="shared" si="103"/>
        <v>5571.8467999999993</v>
      </c>
      <c r="K189" s="35">
        <f t="shared" si="103"/>
        <v>5571.8467999999993</v>
      </c>
      <c r="L189" s="35">
        <f t="shared" si="103"/>
        <v>5571.8467999999993</v>
      </c>
      <c r="M189" s="35">
        <f t="shared" si="103"/>
        <v>5571.8467999999993</v>
      </c>
      <c r="N189" s="35">
        <f t="shared" si="103"/>
        <v>5571.8467999999993</v>
      </c>
      <c r="O189" s="60" t="s">
        <v>1</v>
      </c>
      <c r="P189" s="61">
        <f>SUM(C189:N189)</f>
        <v>66862.161599999992</v>
      </c>
    </row>
    <row r="190" spans="2:28" x14ac:dyDescent="0.25">
      <c r="B190" s="34" t="s">
        <v>68</v>
      </c>
      <c r="C190" s="34">
        <f t="shared" ref="C190:N190" si="104">C189*20%</f>
        <v>1114.3693599999999</v>
      </c>
      <c r="D190" s="34">
        <f t="shared" si="104"/>
        <v>1114.3693599999999</v>
      </c>
      <c r="E190" s="34">
        <f t="shared" si="104"/>
        <v>1114.3693599999999</v>
      </c>
      <c r="F190" s="34">
        <f t="shared" si="104"/>
        <v>1114.3693599999999</v>
      </c>
      <c r="G190" s="34">
        <f t="shared" si="104"/>
        <v>1114.3693599999999</v>
      </c>
      <c r="H190" s="34">
        <f t="shared" si="104"/>
        <v>1114.3693599999999</v>
      </c>
      <c r="I190" s="34">
        <f t="shared" si="104"/>
        <v>1114.3693599999999</v>
      </c>
      <c r="J190" s="34">
        <f t="shared" si="104"/>
        <v>1114.3693599999999</v>
      </c>
      <c r="K190" s="34">
        <f t="shared" si="104"/>
        <v>1114.3693599999999</v>
      </c>
      <c r="L190" s="34">
        <f t="shared" si="104"/>
        <v>1114.3693599999999</v>
      </c>
      <c r="M190" s="34">
        <f t="shared" si="104"/>
        <v>1114.3693599999999</v>
      </c>
      <c r="N190" s="34">
        <f t="shared" si="104"/>
        <v>1114.3693599999999</v>
      </c>
      <c r="O190" s="34"/>
      <c r="P190" s="34"/>
    </row>
    <row r="191" spans="2:28" x14ac:dyDescent="0.25">
      <c r="B191" s="34" t="s">
        <v>69</v>
      </c>
      <c r="C191" s="34">
        <f t="shared" ref="C191:N191" si="105">C189+C190</f>
        <v>6686.216159999999</v>
      </c>
      <c r="D191" s="34">
        <f t="shared" si="105"/>
        <v>6686.216159999999</v>
      </c>
      <c r="E191" s="34">
        <f t="shared" si="105"/>
        <v>6686.216159999999</v>
      </c>
      <c r="F191" s="34">
        <f t="shared" si="105"/>
        <v>6686.216159999999</v>
      </c>
      <c r="G191" s="34">
        <f t="shared" si="105"/>
        <v>6686.216159999999</v>
      </c>
      <c r="H191" s="34">
        <f t="shared" si="105"/>
        <v>6686.216159999999</v>
      </c>
      <c r="I191" s="34">
        <f t="shared" si="105"/>
        <v>6686.216159999999</v>
      </c>
      <c r="J191" s="34">
        <f t="shared" si="105"/>
        <v>6686.216159999999</v>
      </c>
      <c r="K191" s="34">
        <f t="shared" si="105"/>
        <v>6686.216159999999</v>
      </c>
      <c r="L191" s="34">
        <f t="shared" si="105"/>
        <v>6686.216159999999</v>
      </c>
      <c r="M191" s="34">
        <f t="shared" si="105"/>
        <v>6686.216159999999</v>
      </c>
      <c r="N191" s="34">
        <f t="shared" si="105"/>
        <v>6686.216159999999</v>
      </c>
      <c r="O191" s="34"/>
      <c r="P191" s="34"/>
    </row>
    <row r="192" spans="2:28" x14ac:dyDescent="0.25">
      <c r="B192" s="59" t="s">
        <v>139</v>
      </c>
      <c r="C192" s="59">
        <f>Y174+C191/2</f>
        <v>6588.8440799999998</v>
      </c>
      <c r="D192" s="59">
        <f t="shared" ref="D192:N192" si="106">C191/2+D191/2</f>
        <v>6686.216159999999</v>
      </c>
      <c r="E192" s="59">
        <f t="shared" si="106"/>
        <v>6686.216159999999</v>
      </c>
      <c r="F192" s="59">
        <f t="shared" si="106"/>
        <v>6686.216159999999</v>
      </c>
      <c r="G192" s="59">
        <f t="shared" si="106"/>
        <v>6686.216159999999</v>
      </c>
      <c r="H192" s="59">
        <f t="shared" si="106"/>
        <v>6686.216159999999</v>
      </c>
      <c r="I192" s="59">
        <f t="shared" si="106"/>
        <v>6686.216159999999</v>
      </c>
      <c r="J192" s="59">
        <f t="shared" si="106"/>
        <v>6686.216159999999</v>
      </c>
      <c r="K192" s="59">
        <f t="shared" si="106"/>
        <v>6686.216159999999</v>
      </c>
      <c r="L192" s="59">
        <f t="shared" si="106"/>
        <v>6686.216159999999</v>
      </c>
      <c r="M192" s="59">
        <f t="shared" si="106"/>
        <v>6686.216159999999</v>
      </c>
      <c r="N192" s="59">
        <f t="shared" si="106"/>
        <v>6686.216159999999</v>
      </c>
      <c r="O192" s="60" t="s">
        <v>72</v>
      </c>
      <c r="P192" s="61">
        <f>N191/2</f>
        <v>3343.1080799999995</v>
      </c>
    </row>
    <row r="195" spans="2:16" x14ac:dyDescent="0.25">
      <c r="B195" s="288" t="s">
        <v>155</v>
      </c>
      <c r="C195" s="288"/>
      <c r="D195" s="288"/>
      <c r="E195" s="288"/>
      <c r="F195" s="288"/>
      <c r="G195" s="288"/>
      <c r="H195" s="288"/>
      <c r="I195" s="288"/>
      <c r="J195" s="288"/>
      <c r="K195" s="288"/>
      <c r="L195" s="288"/>
      <c r="M195" s="288"/>
      <c r="N195" s="288"/>
      <c r="O195" s="288"/>
      <c r="P195" s="288"/>
    </row>
    <row r="196" spans="2:16" x14ac:dyDescent="0.25">
      <c r="B196" s="213"/>
      <c r="C196" s="215" t="s">
        <v>50</v>
      </c>
      <c r="D196" s="215" t="s">
        <v>51</v>
      </c>
      <c r="E196" s="215" t="s">
        <v>52</v>
      </c>
      <c r="F196" s="215" t="s">
        <v>53</v>
      </c>
      <c r="G196" s="215" t="s">
        <v>54</v>
      </c>
      <c r="H196" s="215" t="s">
        <v>55</v>
      </c>
      <c r="I196" s="215" t="s">
        <v>56</v>
      </c>
      <c r="J196" s="215" t="s">
        <v>57</v>
      </c>
      <c r="K196" s="215" t="s">
        <v>58</v>
      </c>
      <c r="L196" s="215" t="s">
        <v>59</v>
      </c>
      <c r="M196" s="215" t="s">
        <v>60</v>
      </c>
      <c r="N196" s="215" t="s">
        <v>61</v>
      </c>
      <c r="O196" s="220" t="s">
        <v>62</v>
      </c>
      <c r="P196" s="221"/>
    </row>
    <row r="197" spans="2:16" x14ac:dyDescent="0.25">
      <c r="B197" s="214"/>
      <c r="C197" s="216"/>
      <c r="D197" s="216"/>
      <c r="E197" s="216"/>
      <c r="F197" s="216"/>
      <c r="G197" s="216"/>
      <c r="H197" s="216"/>
      <c r="I197" s="216"/>
      <c r="J197" s="216"/>
      <c r="K197" s="216"/>
      <c r="L197" s="216"/>
      <c r="M197" s="216"/>
      <c r="N197" s="216"/>
      <c r="O197" s="58" t="s">
        <v>64</v>
      </c>
      <c r="P197" s="58" t="s">
        <v>65</v>
      </c>
    </row>
    <row r="198" spans="2:16" x14ac:dyDescent="0.25">
      <c r="B198" s="35" t="s">
        <v>77</v>
      </c>
      <c r="C198" s="35">
        <f t="shared" ref="C198:N198" si="107">C189*34%</f>
        <v>1894.4279119999999</v>
      </c>
      <c r="D198" s="35">
        <f t="shared" si="107"/>
        <v>1894.4279119999999</v>
      </c>
      <c r="E198" s="35">
        <f t="shared" si="107"/>
        <v>1894.4279119999999</v>
      </c>
      <c r="F198" s="35">
        <f t="shared" si="107"/>
        <v>1894.4279119999999</v>
      </c>
      <c r="G198" s="35">
        <f t="shared" si="107"/>
        <v>1894.4279119999999</v>
      </c>
      <c r="H198" s="35">
        <f t="shared" si="107"/>
        <v>1894.4279119999999</v>
      </c>
      <c r="I198" s="35">
        <f t="shared" si="107"/>
        <v>1894.4279119999999</v>
      </c>
      <c r="J198" s="35">
        <f t="shared" si="107"/>
        <v>1894.4279119999999</v>
      </c>
      <c r="K198" s="35">
        <f t="shared" si="107"/>
        <v>1894.4279119999999</v>
      </c>
      <c r="L198" s="35">
        <f t="shared" si="107"/>
        <v>1894.4279119999999</v>
      </c>
      <c r="M198" s="35">
        <f t="shared" si="107"/>
        <v>1894.4279119999999</v>
      </c>
      <c r="N198" s="35">
        <f t="shared" si="107"/>
        <v>1894.4279119999999</v>
      </c>
      <c r="O198" s="60" t="s">
        <v>78</v>
      </c>
      <c r="P198" s="61">
        <f>SUM(C198:N198)</f>
        <v>22733.134943999994</v>
      </c>
    </row>
    <row r="199" spans="2:16" x14ac:dyDescent="0.25">
      <c r="B199" s="34" t="s">
        <v>79</v>
      </c>
      <c r="C199" s="34">
        <f t="shared" ref="C199:N199" si="108">C198*20%</f>
        <v>378.88558239999998</v>
      </c>
      <c r="D199" s="34">
        <f t="shared" si="108"/>
        <v>378.88558239999998</v>
      </c>
      <c r="E199" s="34">
        <f t="shared" si="108"/>
        <v>378.88558239999998</v>
      </c>
      <c r="F199" s="34">
        <f t="shared" si="108"/>
        <v>378.88558239999998</v>
      </c>
      <c r="G199" s="34">
        <f t="shared" si="108"/>
        <v>378.88558239999998</v>
      </c>
      <c r="H199" s="34">
        <f t="shared" si="108"/>
        <v>378.88558239999998</v>
      </c>
      <c r="I199" s="34">
        <f t="shared" si="108"/>
        <v>378.88558239999998</v>
      </c>
      <c r="J199" s="34">
        <f t="shared" si="108"/>
        <v>378.88558239999998</v>
      </c>
      <c r="K199" s="34">
        <f t="shared" si="108"/>
        <v>378.88558239999998</v>
      </c>
      <c r="L199" s="34">
        <f t="shared" si="108"/>
        <v>378.88558239999998</v>
      </c>
      <c r="M199" s="34">
        <f t="shared" si="108"/>
        <v>378.88558239999998</v>
      </c>
      <c r="N199" s="34">
        <f t="shared" si="108"/>
        <v>378.88558239999998</v>
      </c>
      <c r="O199" s="34"/>
      <c r="P199" s="34"/>
    </row>
    <row r="200" spans="2:16" x14ac:dyDescent="0.25">
      <c r="B200" s="34" t="s">
        <v>80</v>
      </c>
      <c r="C200" s="34">
        <f t="shared" ref="C200:N200" si="109">C198+C199</f>
        <v>2273.3134943999999</v>
      </c>
      <c r="D200" s="34">
        <f t="shared" si="109"/>
        <v>2273.3134943999999</v>
      </c>
      <c r="E200" s="34">
        <f t="shared" si="109"/>
        <v>2273.3134943999999</v>
      </c>
      <c r="F200" s="34">
        <f t="shared" si="109"/>
        <v>2273.3134943999999</v>
      </c>
      <c r="G200" s="34">
        <f t="shared" si="109"/>
        <v>2273.3134943999999</v>
      </c>
      <c r="H200" s="34">
        <f t="shared" si="109"/>
        <v>2273.3134943999999</v>
      </c>
      <c r="I200" s="34">
        <f t="shared" si="109"/>
        <v>2273.3134943999999</v>
      </c>
      <c r="J200" s="34">
        <f t="shared" si="109"/>
        <v>2273.3134943999999</v>
      </c>
      <c r="K200" s="34">
        <f t="shared" si="109"/>
        <v>2273.3134943999999</v>
      </c>
      <c r="L200" s="34">
        <f t="shared" si="109"/>
        <v>2273.3134943999999</v>
      </c>
      <c r="M200" s="34">
        <f t="shared" si="109"/>
        <v>2273.3134943999999</v>
      </c>
      <c r="N200" s="34">
        <f t="shared" si="109"/>
        <v>2273.3134943999999</v>
      </c>
      <c r="O200" s="34"/>
      <c r="P200" s="34"/>
    </row>
    <row r="201" spans="2:16" x14ac:dyDescent="0.25">
      <c r="B201" s="59" t="s">
        <v>81</v>
      </c>
      <c r="C201" s="59">
        <f t="shared" ref="C201:N201" si="110">C200</f>
        <v>2273.3134943999999</v>
      </c>
      <c r="D201" s="59">
        <f t="shared" si="110"/>
        <v>2273.3134943999999</v>
      </c>
      <c r="E201" s="59">
        <f t="shared" si="110"/>
        <v>2273.3134943999999</v>
      </c>
      <c r="F201" s="59">
        <f t="shared" si="110"/>
        <v>2273.3134943999999</v>
      </c>
      <c r="G201" s="59">
        <f t="shared" si="110"/>
        <v>2273.3134943999999</v>
      </c>
      <c r="H201" s="59">
        <f t="shared" si="110"/>
        <v>2273.3134943999999</v>
      </c>
      <c r="I201" s="59">
        <f t="shared" si="110"/>
        <v>2273.3134943999999</v>
      </c>
      <c r="J201" s="59">
        <f t="shared" si="110"/>
        <v>2273.3134943999999</v>
      </c>
      <c r="K201" s="59">
        <f t="shared" si="110"/>
        <v>2273.3134943999999</v>
      </c>
      <c r="L201" s="59">
        <f t="shared" si="110"/>
        <v>2273.3134943999999</v>
      </c>
      <c r="M201" s="59">
        <f t="shared" si="110"/>
        <v>2273.3134943999999</v>
      </c>
      <c r="N201" s="59">
        <f t="shared" si="110"/>
        <v>2273.3134943999999</v>
      </c>
      <c r="O201" s="60" t="s">
        <v>82</v>
      </c>
      <c r="P201" s="61">
        <v>0</v>
      </c>
    </row>
    <row r="204" spans="2:16" x14ac:dyDescent="0.25">
      <c r="B204" s="288" t="s">
        <v>156</v>
      </c>
      <c r="C204" s="288"/>
      <c r="D204" s="288"/>
      <c r="E204" s="288"/>
      <c r="F204" s="288"/>
      <c r="G204" s="288"/>
      <c r="H204" s="288"/>
      <c r="I204" s="288"/>
      <c r="J204" s="288"/>
      <c r="K204" s="288"/>
      <c r="L204" s="288"/>
      <c r="M204" s="288"/>
      <c r="N204" s="288"/>
      <c r="O204" s="288"/>
      <c r="P204" s="288"/>
    </row>
    <row r="205" spans="2:16" x14ac:dyDescent="0.25">
      <c r="B205" s="213"/>
      <c r="C205" s="215" t="s">
        <v>50</v>
      </c>
      <c r="D205" s="215" t="s">
        <v>51</v>
      </c>
      <c r="E205" s="215" t="s">
        <v>52</v>
      </c>
      <c r="F205" s="215" t="s">
        <v>53</v>
      </c>
      <c r="G205" s="215" t="s">
        <v>54</v>
      </c>
      <c r="H205" s="215" t="s">
        <v>55</v>
      </c>
      <c r="I205" s="215" t="s">
        <v>56</v>
      </c>
      <c r="J205" s="215" t="s">
        <v>57</v>
      </c>
      <c r="K205" s="215" t="s">
        <v>58</v>
      </c>
      <c r="L205" s="215" t="s">
        <v>59</v>
      </c>
      <c r="M205" s="215" t="s">
        <v>60</v>
      </c>
      <c r="N205" s="215" t="s">
        <v>61</v>
      </c>
      <c r="O205" s="220" t="s">
        <v>62</v>
      </c>
      <c r="P205" s="221"/>
    </row>
    <row r="206" spans="2:16" x14ac:dyDescent="0.25">
      <c r="B206" s="231"/>
      <c r="C206" s="232"/>
      <c r="D206" s="232"/>
      <c r="E206" s="232"/>
      <c r="F206" s="232"/>
      <c r="G206" s="232"/>
      <c r="H206" s="232"/>
      <c r="I206" s="232"/>
      <c r="J206" s="232"/>
      <c r="K206" s="232"/>
      <c r="L206" s="232"/>
      <c r="M206" s="232"/>
      <c r="N206" s="232"/>
      <c r="O206" s="58" t="s">
        <v>64</v>
      </c>
      <c r="P206" s="58" t="s">
        <v>65</v>
      </c>
    </row>
    <row r="207" spans="2:16" x14ac:dyDescent="0.25">
      <c r="B207" s="21" t="s">
        <v>84</v>
      </c>
      <c r="C207" s="21">
        <v>7100</v>
      </c>
      <c r="D207" s="21">
        <v>7100</v>
      </c>
      <c r="E207" s="21">
        <v>7100</v>
      </c>
      <c r="F207" s="21">
        <v>7100</v>
      </c>
      <c r="G207" s="21">
        <v>7100</v>
      </c>
      <c r="H207" s="21">
        <v>7100</v>
      </c>
      <c r="I207" s="21">
        <v>7100</v>
      </c>
      <c r="J207" s="21">
        <v>7100</v>
      </c>
      <c r="K207" s="21">
        <v>7100</v>
      </c>
      <c r="L207" s="21">
        <v>7100</v>
      </c>
      <c r="M207" s="21">
        <v>7100</v>
      </c>
      <c r="N207" s="22">
        <v>7100</v>
      </c>
      <c r="O207" s="60" t="s">
        <v>85</v>
      </c>
      <c r="P207" s="61">
        <f>SUM(C207:N207)</f>
        <v>85200</v>
      </c>
    </row>
    <row r="208" spans="2:16" x14ac:dyDescent="0.25">
      <c r="B208" s="21" t="s">
        <v>86</v>
      </c>
      <c r="C208" s="21">
        <f t="shared" ref="C208:N208" si="111">C207*20%</f>
        <v>1420</v>
      </c>
      <c r="D208" s="21">
        <f t="shared" si="111"/>
        <v>1420</v>
      </c>
      <c r="E208" s="21">
        <f t="shared" si="111"/>
        <v>1420</v>
      </c>
      <c r="F208" s="21">
        <f t="shared" si="111"/>
        <v>1420</v>
      </c>
      <c r="G208" s="21">
        <f t="shared" si="111"/>
        <v>1420</v>
      </c>
      <c r="H208" s="21">
        <f t="shared" si="111"/>
        <v>1420</v>
      </c>
      <c r="I208" s="21">
        <f t="shared" si="111"/>
        <v>1420</v>
      </c>
      <c r="J208" s="21">
        <f t="shared" si="111"/>
        <v>1420</v>
      </c>
      <c r="K208" s="21">
        <f t="shared" si="111"/>
        <v>1420</v>
      </c>
      <c r="L208" s="21">
        <f t="shared" si="111"/>
        <v>1420</v>
      </c>
      <c r="M208" s="21">
        <f t="shared" si="111"/>
        <v>1420</v>
      </c>
      <c r="N208" s="22">
        <f t="shared" si="111"/>
        <v>1420</v>
      </c>
      <c r="O208" s="47"/>
      <c r="P208" s="48"/>
    </row>
    <row r="209" spans="2:16" x14ac:dyDescent="0.25">
      <c r="B209" s="142" t="s">
        <v>223</v>
      </c>
      <c r="C209" s="21">
        <f>$P$209/12</f>
        <v>308.03571428571428</v>
      </c>
      <c r="D209" s="21">
        <f t="shared" ref="D209:N209" si="112">$P$209/12</f>
        <v>308.03571428571428</v>
      </c>
      <c r="E209" s="21">
        <f t="shared" si="112"/>
        <v>308.03571428571428</v>
      </c>
      <c r="F209" s="21">
        <f t="shared" si="112"/>
        <v>308.03571428571428</v>
      </c>
      <c r="G209" s="21">
        <f t="shared" si="112"/>
        <v>308.03571428571428</v>
      </c>
      <c r="H209" s="21">
        <f t="shared" si="112"/>
        <v>308.03571428571428</v>
      </c>
      <c r="I209" s="21">
        <f t="shared" si="112"/>
        <v>308.03571428571428</v>
      </c>
      <c r="J209" s="21">
        <f t="shared" si="112"/>
        <v>308.03571428571428</v>
      </c>
      <c r="K209" s="21">
        <f t="shared" si="112"/>
        <v>308.03571428571428</v>
      </c>
      <c r="L209" s="21">
        <f t="shared" si="112"/>
        <v>308.03571428571428</v>
      </c>
      <c r="M209" s="21">
        <f t="shared" si="112"/>
        <v>308.03571428571428</v>
      </c>
      <c r="N209" s="21">
        <f t="shared" si="112"/>
        <v>308.03571428571428</v>
      </c>
      <c r="O209" s="61" t="s">
        <v>224</v>
      </c>
      <c r="P209" s="196">
        <f>Emprunt!S6</f>
        <v>3696.4285714285711</v>
      </c>
    </row>
    <row r="210" spans="2:16" x14ac:dyDescent="0.25">
      <c r="B210" s="142" t="s">
        <v>229</v>
      </c>
      <c r="C210" s="21">
        <f>$P$210/12</f>
        <v>162.91666666666666</v>
      </c>
      <c r="D210" s="21">
        <f t="shared" ref="D210:N210" si="113">$P$210/12</f>
        <v>162.91666666666666</v>
      </c>
      <c r="E210" s="21">
        <f t="shared" si="113"/>
        <v>162.91666666666666</v>
      </c>
      <c r="F210" s="21">
        <f t="shared" si="113"/>
        <v>162.91666666666666</v>
      </c>
      <c r="G210" s="21">
        <f t="shared" si="113"/>
        <v>162.91666666666666</v>
      </c>
      <c r="H210" s="21">
        <f t="shared" si="113"/>
        <v>162.91666666666666</v>
      </c>
      <c r="I210" s="21">
        <f t="shared" si="113"/>
        <v>162.91666666666666</v>
      </c>
      <c r="J210" s="21">
        <f t="shared" si="113"/>
        <v>162.91666666666666</v>
      </c>
      <c r="K210" s="21">
        <f t="shared" si="113"/>
        <v>162.91666666666666</v>
      </c>
      <c r="L210" s="21">
        <f t="shared" si="113"/>
        <v>162.91666666666666</v>
      </c>
      <c r="M210" s="21">
        <f t="shared" si="113"/>
        <v>162.91666666666666</v>
      </c>
      <c r="N210" s="21">
        <f t="shared" si="113"/>
        <v>162.91666666666666</v>
      </c>
      <c r="O210" s="61" t="s">
        <v>230</v>
      </c>
      <c r="P210" s="196">
        <f>Emprunt!S15</f>
        <v>1954.9999999999998</v>
      </c>
    </row>
    <row r="211" spans="2:16" x14ac:dyDescent="0.25">
      <c r="B211" s="142" t="s">
        <v>231</v>
      </c>
      <c r="C211" s="21">
        <f>$P$211/12</f>
        <v>306.66666666666663</v>
      </c>
      <c r="D211" s="21">
        <f t="shared" ref="D211:N211" si="114">$P$211/12</f>
        <v>306.66666666666663</v>
      </c>
      <c r="E211" s="21">
        <f t="shared" si="114"/>
        <v>306.66666666666663</v>
      </c>
      <c r="F211" s="21">
        <f t="shared" si="114"/>
        <v>306.66666666666663</v>
      </c>
      <c r="G211" s="21">
        <f t="shared" si="114"/>
        <v>306.66666666666663</v>
      </c>
      <c r="H211" s="21">
        <f t="shared" si="114"/>
        <v>306.66666666666663</v>
      </c>
      <c r="I211" s="21">
        <f t="shared" si="114"/>
        <v>306.66666666666663</v>
      </c>
      <c r="J211" s="21">
        <f t="shared" si="114"/>
        <v>306.66666666666663</v>
      </c>
      <c r="K211" s="21">
        <f t="shared" si="114"/>
        <v>306.66666666666663</v>
      </c>
      <c r="L211" s="21">
        <f t="shared" si="114"/>
        <v>306.66666666666663</v>
      </c>
      <c r="M211" s="21">
        <f t="shared" si="114"/>
        <v>306.66666666666663</v>
      </c>
      <c r="N211" s="21">
        <f t="shared" si="114"/>
        <v>306.66666666666663</v>
      </c>
      <c r="O211" s="61" t="s">
        <v>233</v>
      </c>
      <c r="P211" s="196">
        <f>Emprunt!S28</f>
        <v>3679.9999999999995</v>
      </c>
    </row>
    <row r="212" spans="2:16" x14ac:dyDescent="0.25">
      <c r="B212" s="22" t="s">
        <v>232</v>
      </c>
      <c r="C212" s="21">
        <f>SUM(C209:C211)*0.2</f>
        <v>155.52380952380952</v>
      </c>
      <c r="D212" s="21">
        <f t="shared" ref="D212:N212" si="115">SUM(D209:D211)*0.2</f>
        <v>155.52380952380952</v>
      </c>
      <c r="E212" s="21">
        <f t="shared" si="115"/>
        <v>155.52380952380952</v>
      </c>
      <c r="F212" s="21">
        <f t="shared" si="115"/>
        <v>155.52380952380952</v>
      </c>
      <c r="G212" s="21">
        <f t="shared" si="115"/>
        <v>155.52380952380952</v>
      </c>
      <c r="H212" s="21">
        <f t="shared" si="115"/>
        <v>155.52380952380952</v>
      </c>
      <c r="I212" s="21">
        <f t="shared" si="115"/>
        <v>155.52380952380952</v>
      </c>
      <c r="J212" s="21">
        <f t="shared" si="115"/>
        <v>155.52380952380952</v>
      </c>
      <c r="K212" s="21">
        <f t="shared" si="115"/>
        <v>155.52380952380952</v>
      </c>
      <c r="L212" s="21">
        <f t="shared" si="115"/>
        <v>155.52380952380952</v>
      </c>
      <c r="M212" s="21">
        <f t="shared" si="115"/>
        <v>155.52380952380952</v>
      </c>
      <c r="N212" s="21">
        <f t="shared" si="115"/>
        <v>155.52380952380952</v>
      </c>
      <c r="O212" s="163"/>
      <c r="P212" s="48"/>
    </row>
    <row r="213" spans="2:16" x14ac:dyDescent="0.25">
      <c r="B213" s="139" t="s">
        <v>87</v>
      </c>
      <c r="C213" s="139">
        <f>SUM(C207:C212)</f>
        <v>9453.1428571428551</v>
      </c>
      <c r="D213" s="139">
        <f t="shared" ref="D213:N213" si="116">SUM(D207:D212)</f>
        <v>9453.1428571428551</v>
      </c>
      <c r="E213" s="139">
        <f t="shared" si="116"/>
        <v>9453.1428571428551</v>
      </c>
      <c r="F213" s="139">
        <f t="shared" si="116"/>
        <v>9453.1428571428551</v>
      </c>
      <c r="G213" s="139">
        <f t="shared" si="116"/>
        <v>9453.1428571428551</v>
      </c>
      <c r="H213" s="139">
        <f t="shared" si="116"/>
        <v>9453.1428571428551</v>
      </c>
      <c r="I213" s="139">
        <f t="shared" si="116"/>
        <v>9453.1428571428551</v>
      </c>
      <c r="J213" s="139">
        <f t="shared" si="116"/>
        <v>9453.1428571428551</v>
      </c>
      <c r="K213" s="139">
        <f t="shared" si="116"/>
        <v>9453.1428571428551</v>
      </c>
      <c r="L213" s="139">
        <f t="shared" si="116"/>
        <v>9453.1428571428551</v>
      </c>
      <c r="M213" s="139">
        <f t="shared" si="116"/>
        <v>9453.1428571428551</v>
      </c>
      <c r="N213" s="139">
        <f t="shared" si="116"/>
        <v>9453.1428571428551</v>
      </c>
      <c r="O213" s="34"/>
      <c r="P213" s="34"/>
    </row>
    <row r="214" spans="2:16" x14ac:dyDescent="0.25">
      <c r="B214" s="59" t="s">
        <v>81</v>
      </c>
      <c r="C214" s="59">
        <f>C213</f>
        <v>9453.1428571428551</v>
      </c>
      <c r="D214" s="59">
        <f t="shared" ref="D214:N214" si="117">D213</f>
        <v>9453.1428571428551</v>
      </c>
      <c r="E214" s="59">
        <f t="shared" si="117"/>
        <v>9453.1428571428551</v>
      </c>
      <c r="F214" s="59">
        <f t="shared" si="117"/>
        <v>9453.1428571428551</v>
      </c>
      <c r="G214" s="59">
        <f t="shared" si="117"/>
        <v>9453.1428571428551</v>
      </c>
      <c r="H214" s="59">
        <f t="shared" si="117"/>
        <v>9453.1428571428551</v>
      </c>
      <c r="I214" s="59">
        <f t="shared" si="117"/>
        <v>9453.1428571428551</v>
      </c>
      <c r="J214" s="59">
        <f t="shared" si="117"/>
        <v>9453.1428571428551</v>
      </c>
      <c r="K214" s="59">
        <f t="shared" si="117"/>
        <v>9453.1428571428551</v>
      </c>
      <c r="L214" s="59">
        <f t="shared" si="117"/>
        <v>9453.1428571428551</v>
      </c>
      <c r="M214" s="59">
        <f t="shared" si="117"/>
        <v>9453.1428571428551</v>
      </c>
      <c r="N214" s="59">
        <f t="shared" si="117"/>
        <v>9453.1428571428551</v>
      </c>
      <c r="O214" s="47"/>
      <c r="P214" s="34"/>
    </row>
    <row r="215" spans="2:16" x14ac:dyDescent="0.25">
      <c r="B215" s="28" t="s">
        <v>89</v>
      </c>
      <c r="C215" s="21"/>
      <c r="D215" s="21"/>
      <c r="E215" s="21"/>
      <c r="F215" s="21"/>
      <c r="G215" s="21"/>
      <c r="H215" s="21"/>
      <c r="I215" s="21"/>
      <c r="J215" s="21"/>
      <c r="K215" s="21"/>
      <c r="L215" s="21"/>
      <c r="M215" s="21"/>
      <c r="N215" s="22">
        <v>7500</v>
      </c>
      <c r="O215" s="47"/>
      <c r="P215" s="48"/>
    </row>
    <row r="216" spans="2:16" x14ac:dyDescent="0.25">
      <c r="B216" s="59" t="s">
        <v>94</v>
      </c>
      <c r="C216" s="59">
        <f>C215</f>
        <v>0</v>
      </c>
      <c r="D216" s="59">
        <f t="shared" ref="D216:N216" si="118">D215</f>
        <v>0</v>
      </c>
      <c r="E216" s="59">
        <f t="shared" si="118"/>
        <v>0</v>
      </c>
      <c r="F216" s="59">
        <f t="shared" si="118"/>
        <v>0</v>
      </c>
      <c r="G216" s="59">
        <f t="shared" si="118"/>
        <v>0</v>
      </c>
      <c r="H216" s="59">
        <f t="shared" si="118"/>
        <v>0</v>
      </c>
      <c r="I216" s="59">
        <f t="shared" si="118"/>
        <v>0</v>
      </c>
      <c r="J216" s="59">
        <f t="shared" si="118"/>
        <v>0</v>
      </c>
      <c r="K216" s="59">
        <f t="shared" si="118"/>
        <v>0</v>
      </c>
      <c r="L216" s="59">
        <f t="shared" si="118"/>
        <v>0</v>
      </c>
      <c r="M216" s="59">
        <f t="shared" si="118"/>
        <v>0</v>
      </c>
      <c r="N216" s="59">
        <f t="shared" si="118"/>
        <v>7500</v>
      </c>
      <c r="O216" s="60" t="s">
        <v>93</v>
      </c>
      <c r="P216" s="61">
        <f>SUM(C216:N216)</f>
        <v>7500</v>
      </c>
    </row>
    <row r="217" spans="2:16" x14ac:dyDescent="0.25">
      <c r="B217" s="21" t="s">
        <v>95</v>
      </c>
      <c r="C217" s="21">
        <f t="shared" ref="C217:N217" si="119">307500/12</f>
        <v>25625</v>
      </c>
      <c r="D217" s="21">
        <f t="shared" si="119"/>
        <v>25625</v>
      </c>
      <c r="E217" s="21">
        <f t="shared" si="119"/>
        <v>25625</v>
      </c>
      <c r="F217" s="21">
        <f t="shared" si="119"/>
        <v>25625</v>
      </c>
      <c r="G217" s="21">
        <f t="shared" si="119"/>
        <v>25625</v>
      </c>
      <c r="H217" s="21">
        <f t="shared" si="119"/>
        <v>25625</v>
      </c>
      <c r="I217" s="21">
        <f t="shared" si="119"/>
        <v>25625</v>
      </c>
      <c r="J217" s="21">
        <f t="shared" si="119"/>
        <v>25625</v>
      </c>
      <c r="K217" s="21">
        <f t="shared" si="119"/>
        <v>25625</v>
      </c>
      <c r="L217" s="21">
        <f t="shared" si="119"/>
        <v>25625</v>
      </c>
      <c r="M217" s="21">
        <f t="shared" si="119"/>
        <v>25625</v>
      </c>
      <c r="N217" s="22">
        <f t="shared" si="119"/>
        <v>25625</v>
      </c>
      <c r="O217" s="47"/>
      <c r="P217" s="48"/>
    </row>
    <row r="218" spans="2:16" x14ac:dyDescent="0.25">
      <c r="B218" s="59" t="s">
        <v>96</v>
      </c>
      <c r="C218" s="59">
        <f t="shared" ref="C218:N218" si="120">C217</f>
        <v>25625</v>
      </c>
      <c r="D218" s="59">
        <f t="shared" si="120"/>
        <v>25625</v>
      </c>
      <c r="E218" s="59">
        <f t="shared" si="120"/>
        <v>25625</v>
      </c>
      <c r="F218" s="59">
        <f t="shared" si="120"/>
        <v>25625</v>
      </c>
      <c r="G218" s="59">
        <f t="shared" si="120"/>
        <v>25625</v>
      </c>
      <c r="H218" s="59">
        <f t="shared" si="120"/>
        <v>25625</v>
      </c>
      <c r="I218" s="59">
        <f t="shared" si="120"/>
        <v>25625</v>
      </c>
      <c r="J218" s="59">
        <f t="shared" si="120"/>
        <v>25625</v>
      </c>
      <c r="K218" s="59">
        <f t="shared" si="120"/>
        <v>25625</v>
      </c>
      <c r="L218" s="59">
        <f t="shared" si="120"/>
        <v>25625</v>
      </c>
      <c r="M218" s="59">
        <f t="shared" si="120"/>
        <v>25625</v>
      </c>
      <c r="N218" s="59">
        <f t="shared" si="120"/>
        <v>25625</v>
      </c>
      <c r="O218" s="60" t="s">
        <v>97</v>
      </c>
      <c r="P218" s="61">
        <f>SUM(C218:N218)</f>
        <v>307500</v>
      </c>
    </row>
    <row r="219" spans="2:16" x14ac:dyDescent="0.25">
      <c r="B219" s="21" t="s">
        <v>21</v>
      </c>
      <c r="C219" s="21">
        <f t="shared" ref="C219:N219" si="121">C217*0.4</f>
        <v>10250</v>
      </c>
      <c r="D219" s="21">
        <f t="shared" si="121"/>
        <v>10250</v>
      </c>
      <c r="E219" s="21">
        <f t="shared" si="121"/>
        <v>10250</v>
      </c>
      <c r="F219" s="21">
        <f t="shared" si="121"/>
        <v>10250</v>
      </c>
      <c r="G219" s="21">
        <f t="shared" si="121"/>
        <v>10250</v>
      </c>
      <c r="H219" s="21">
        <f t="shared" si="121"/>
        <v>10250</v>
      </c>
      <c r="I219" s="21">
        <f t="shared" si="121"/>
        <v>10250</v>
      </c>
      <c r="J219" s="21">
        <f t="shared" si="121"/>
        <v>10250</v>
      </c>
      <c r="K219" s="21">
        <f t="shared" si="121"/>
        <v>10250</v>
      </c>
      <c r="L219" s="21">
        <f t="shared" si="121"/>
        <v>10250</v>
      </c>
      <c r="M219" s="21">
        <f t="shared" si="121"/>
        <v>10250</v>
      </c>
      <c r="N219" s="22">
        <f t="shared" si="121"/>
        <v>10250</v>
      </c>
      <c r="O219" s="60" t="s">
        <v>98</v>
      </c>
      <c r="P219" s="61">
        <f>SUM(C219:N219)</f>
        <v>123000</v>
      </c>
    </row>
    <row r="220" spans="2:16" x14ac:dyDescent="0.25">
      <c r="B220" s="59" t="s">
        <v>99</v>
      </c>
      <c r="C220" s="59">
        <f>P128</f>
        <v>10250</v>
      </c>
      <c r="D220" s="59">
        <f t="shared" ref="D220:N220" si="122">C219</f>
        <v>10250</v>
      </c>
      <c r="E220" s="59">
        <f t="shared" si="122"/>
        <v>10250</v>
      </c>
      <c r="F220" s="59">
        <f t="shared" si="122"/>
        <v>10250</v>
      </c>
      <c r="G220" s="59">
        <f t="shared" si="122"/>
        <v>10250</v>
      </c>
      <c r="H220" s="59">
        <f t="shared" si="122"/>
        <v>10250</v>
      </c>
      <c r="I220" s="59">
        <f t="shared" si="122"/>
        <v>10250</v>
      </c>
      <c r="J220" s="59">
        <f t="shared" si="122"/>
        <v>10250</v>
      </c>
      <c r="K220" s="59">
        <f t="shared" si="122"/>
        <v>10250</v>
      </c>
      <c r="L220" s="59">
        <f t="shared" si="122"/>
        <v>10250</v>
      </c>
      <c r="M220" s="59">
        <f t="shared" si="122"/>
        <v>10250</v>
      </c>
      <c r="N220" s="59">
        <f t="shared" si="122"/>
        <v>10250</v>
      </c>
      <c r="O220" s="60" t="s">
        <v>100</v>
      </c>
      <c r="P220" s="61">
        <f>N219</f>
        <v>10250</v>
      </c>
    </row>
    <row r="223" spans="2:16" x14ac:dyDescent="0.25">
      <c r="B223" s="288" t="s">
        <v>160</v>
      </c>
      <c r="C223" s="288"/>
      <c r="D223" s="288"/>
      <c r="E223" s="288"/>
      <c r="F223" s="288"/>
      <c r="G223" s="288"/>
      <c r="H223" s="288"/>
      <c r="I223" s="288"/>
      <c r="J223" s="288"/>
      <c r="K223" s="288"/>
      <c r="L223" s="288"/>
      <c r="M223" s="288"/>
      <c r="N223" s="288"/>
      <c r="O223" s="288"/>
      <c r="P223" s="288"/>
    </row>
    <row r="224" spans="2:16" x14ac:dyDescent="0.25">
      <c r="B224" s="213"/>
      <c r="C224" s="215" t="s">
        <v>50</v>
      </c>
      <c r="D224" s="215" t="s">
        <v>51</v>
      </c>
      <c r="E224" s="215" t="s">
        <v>52</v>
      </c>
      <c r="F224" s="215" t="s">
        <v>53</v>
      </c>
      <c r="G224" s="215" t="s">
        <v>54</v>
      </c>
      <c r="H224" s="215" t="s">
        <v>55</v>
      </c>
      <c r="I224" s="215" t="s">
        <v>56</v>
      </c>
      <c r="J224" s="215" t="s">
        <v>57</v>
      </c>
      <c r="K224" s="215" t="s">
        <v>58</v>
      </c>
      <c r="L224" s="215" t="s">
        <v>59</v>
      </c>
      <c r="M224" s="215" t="s">
        <v>60</v>
      </c>
      <c r="N224" s="215" t="s">
        <v>61</v>
      </c>
      <c r="O224" s="220" t="s">
        <v>62</v>
      </c>
      <c r="P224" s="221"/>
    </row>
    <row r="225" spans="2:16" x14ac:dyDescent="0.25">
      <c r="B225" s="214"/>
      <c r="C225" s="216"/>
      <c r="D225" s="216"/>
      <c r="E225" s="216"/>
      <c r="F225" s="216"/>
      <c r="G225" s="216"/>
      <c r="H225" s="216"/>
      <c r="I225" s="216"/>
      <c r="J225" s="216"/>
      <c r="K225" s="216"/>
      <c r="L225" s="216"/>
      <c r="M225" s="216"/>
      <c r="N225" s="216"/>
      <c r="O225" s="58" t="s">
        <v>64</v>
      </c>
      <c r="P225" s="58" t="s">
        <v>65</v>
      </c>
    </row>
    <row r="226" spans="2:16" x14ac:dyDescent="0.25">
      <c r="B226" s="46" t="s">
        <v>102</v>
      </c>
      <c r="C226" s="35"/>
      <c r="D226" s="35"/>
      <c r="E226" s="35"/>
      <c r="F226" s="35"/>
      <c r="G226" s="35"/>
      <c r="H226" s="35"/>
      <c r="I226" s="35"/>
      <c r="J226" s="35"/>
      <c r="K226" s="35"/>
      <c r="L226" s="35">
        <v>8200</v>
      </c>
      <c r="M226" s="35"/>
      <c r="N226" s="35"/>
      <c r="O226" s="60" t="s">
        <v>103</v>
      </c>
      <c r="P226" s="61">
        <f>SUM(C226:N226)</f>
        <v>8200</v>
      </c>
    </row>
    <row r="227" spans="2:16" x14ac:dyDescent="0.25">
      <c r="B227" s="34" t="s">
        <v>105</v>
      </c>
      <c r="C227" s="34"/>
      <c r="D227" s="34"/>
      <c r="E227" s="34"/>
      <c r="F227" s="34"/>
      <c r="G227" s="34"/>
      <c r="H227" s="34"/>
      <c r="I227" s="34"/>
      <c r="J227" s="34"/>
      <c r="K227" s="34"/>
      <c r="L227" s="34">
        <v>8200</v>
      </c>
      <c r="M227" s="34"/>
      <c r="N227" s="34"/>
      <c r="O227" s="34"/>
      <c r="P227" s="34"/>
    </row>
    <row r="228" spans="2:16" x14ac:dyDescent="0.25">
      <c r="B228" s="34" t="s">
        <v>106</v>
      </c>
      <c r="C228" s="34"/>
      <c r="D228" s="34"/>
      <c r="E228" s="34"/>
      <c r="F228" s="34"/>
      <c r="G228" s="34"/>
      <c r="H228" s="34"/>
      <c r="I228" s="34"/>
      <c r="J228" s="34"/>
      <c r="K228" s="34"/>
      <c r="L228" s="34"/>
      <c r="M228" s="34"/>
      <c r="N228" s="34"/>
      <c r="O228" s="60" t="s">
        <v>107</v>
      </c>
      <c r="P228" s="61"/>
    </row>
    <row r="229" spans="2:16" x14ac:dyDescent="0.25">
      <c r="B229" s="34" t="s">
        <v>108</v>
      </c>
      <c r="C229" s="34">
        <f t="shared" ref="C229:N229" si="123">$P$229/12</f>
        <v>0</v>
      </c>
      <c r="D229" s="34">
        <f t="shared" si="123"/>
        <v>0</v>
      </c>
      <c r="E229" s="34">
        <f t="shared" si="123"/>
        <v>0</v>
      </c>
      <c r="F229" s="34">
        <f t="shared" si="123"/>
        <v>0</v>
      </c>
      <c r="G229" s="34">
        <f t="shared" si="123"/>
        <v>0</v>
      </c>
      <c r="H229" s="34">
        <f t="shared" si="123"/>
        <v>0</v>
      </c>
      <c r="I229" s="34">
        <f t="shared" si="123"/>
        <v>0</v>
      </c>
      <c r="J229" s="34">
        <f t="shared" si="123"/>
        <v>0</v>
      </c>
      <c r="K229" s="34">
        <f t="shared" si="123"/>
        <v>0</v>
      </c>
      <c r="L229" s="34">
        <f t="shared" si="123"/>
        <v>0</v>
      </c>
      <c r="M229" s="34">
        <f t="shared" si="123"/>
        <v>0</v>
      </c>
      <c r="N229" s="34">
        <f t="shared" si="123"/>
        <v>0</v>
      </c>
      <c r="O229" s="60" t="s">
        <v>109</v>
      </c>
      <c r="P229" s="61"/>
    </row>
    <row r="230" spans="2:16" x14ac:dyDescent="0.25">
      <c r="B230" s="59" t="s">
        <v>71</v>
      </c>
      <c r="C230" s="59">
        <f t="shared" ref="C230:N230" si="124">C228+C229</f>
        <v>0</v>
      </c>
      <c r="D230" s="59">
        <f t="shared" si="124"/>
        <v>0</v>
      </c>
      <c r="E230" s="59">
        <f t="shared" si="124"/>
        <v>0</v>
      </c>
      <c r="F230" s="59">
        <f t="shared" si="124"/>
        <v>0</v>
      </c>
      <c r="G230" s="59">
        <f t="shared" si="124"/>
        <v>0</v>
      </c>
      <c r="H230" s="59">
        <f t="shared" si="124"/>
        <v>0</v>
      </c>
      <c r="I230" s="59">
        <f t="shared" si="124"/>
        <v>0</v>
      </c>
      <c r="J230" s="59">
        <f t="shared" si="124"/>
        <v>0</v>
      </c>
      <c r="K230" s="59">
        <f t="shared" si="124"/>
        <v>0</v>
      </c>
      <c r="L230" s="59">
        <f t="shared" si="124"/>
        <v>0</v>
      </c>
      <c r="M230" s="59">
        <f t="shared" si="124"/>
        <v>0</v>
      </c>
      <c r="N230" s="59">
        <f t="shared" si="124"/>
        <v>0</v>
      </c>
      <c r="O230" s="38"/>
      <c r="P230" s="38"/>
    </row>
    <row r="233" spans="2:16" x14ac:dyDescent="0.25">
      <c r="B233" s="288" t="s">
        <v>161</v>
      </c>
      <c r="C233" s="288"/>
      <c r="D233" s="288"/>
      <c r="E233" s="288"/>
      <c r="F233" s="288"/>
      <c r="G233" s="288"/>
      <c r="H233" s="288"/>
      <c r="I233" s="288"/>
      <c r="J233" s="288"/>
      <c r="K233" s="288"/>
      <c r="L233" s="288"/>
      <c r="M233" s="288"/>
      <c r="N233" s="288"/>
      <c r="O233" s="288"/>
      <c r="P233" s="288"/>
    </row>
    <row r="234" spans="2:16" x14ac:dyDescent="0.25">
      <c r="B234" s="213"/>
      <c r="C234" s="215" t="s">
        <v>50</v>
      </c>
      <c r="D234" s="215" t="s">
        <v>51</v>
      </c>
      <c r="E234" s="215" t="s">
        <v>52</v>
      </c>
      <c r="F234" s="215" t="s">
        <v>53</v>
      </c>
      <c r="G234" s="215" t="s">
        <v>54</v>
      </c>
      <c r="H234" s="215" t="s">
        <v>55</v>
      </c>
      <c r="I234" s="215" t="s">
        <v>56</v>
      </c>
      <c r="J234" s="215" t="s">
        <v>57</v>
      </c>
      <c r="K234" s="215" t="s">
        <v>58</v>
      </c>
      <c r="L234" s="215" t="s">
        <v>59</v>
      </c>
      <c r="M234" s="215" t="s">
        <v>60</v>
      </c>
      <c r="N234" s="215" t="s">
        <v>61</v>
      </c>
      <c r="O234" s="220" t="s">
        <v>62</v>
      </c>
      <c r="P234" s="221"/>
    </row>
    <row r="235" spans="2:16" x14ac:dyDescent="0.25">
      <c r="B235" s="214"/>
      <c r="C235" s="216"/>
      <c r="D235" s="216"/>
      <c r="E235" s="216"/>
      <c r="F235" s="216"/>
      <c r="G235" s="216"/>
      <c r="H235" s="216"/>
      <c r="I235" s="216"/>
      <c r="J235" s="216"/>
      <c r="K235" s="216"/>
      <c r="L235" s="216"/>
      <c r="M235" s="216"/>
      <c r="N235" s="216"/>
      <c r="O235" s="58" t="s">
        <v>64</v>
      </c>
      <c r="P235" s="58" t="s">
        <v>65</v>
      </c>
    </row>
    <row r="236" spans="2:16" x14ac:dyDescent="0.25">
      <c r="B236" s="35" t="s">
        <v>111</v>
      </c>
      <c r="C236" s="35"/>
      <c r="D236" s="35"/>
      <c r="E236" s="35"/>
      <c r="F236" s="35"/>
      <c r="G236" s="35"/>
      <c r="H236" s="35"/>
      <c r="I236" s="35"/>
      <c r="J236" s="35"/>
      <c r="K236" s="35"/>
      <c r="L236" s="35"/>
      <c r="M236" s="35"/>
      <c r="N236" s="35"/>
      <c r="O236" s="60" t="s">
        <v>112</v>
      </c>
      <c r="P236" s="61">
        <f>SUM(C236:N236)</f>
        <v>0</v>
      </c>
    </row>
    <row r="237" spans="2:16" x14ac:dyDescent="0.25">
      <c r="B237" s="34" t="s">
        <v>113</v>
      </c>
      <c r="C237" s="34">
        <f t="shared" ref="C237:N237" si="125">C236*20%</f>
        <v>0</v>
      </c>
      <c r="D237" s="34">
        <f t="shared" si="125"/>
        <v>0</v>
      </c>
      <c r="E237" s="34">
        <f t="shared" si="125"/>
        <v>0</v>
      </c>
      <c r="F237" s="34">
        <f t="shared" si="125"/>
        <v>0</v>
      </c>
      <c r="G237" s="34">
        <f t="shared" si="125"/>
        <v>0</v>
      </c>
      <c r="H237" s="34">
        <f t="shared" si="125"/>
        <v>0</v>
      </c>
      <c r="I237" s="34">
        <f t="shared" si="125"/>
        <v>0</v>
      </c>
      <c r="J237" s="34">
        <f t="shared" si="125"/>
        <v>0</v>
      </c>
      <c r="K237" s="34">
        <f t="shared" si="125"/>
        <v>0</v>
      </c>
      <c r="L237" s="34">
        <f t="shared" si="125"/>
        <v>0</v>
      </c>
      <c r="M237" s="34">
        <f t="shared" si="125"/>
        <v>0</v>
      </c>
      <c r="N237" s="34">
        <f t="shared" si="125"/>
        <v>0</v>
      </c>
      <c r="O237" s="34"/>
      <c r="P237" s="34"/>
    </row>
    <row r="238" spans="2:16" x14ac:dyDescent="0.25">
      <c r="B238" s="34" t="s">
        <v>114</v>
      </c>
      <c r="C238" s="34">
        <f t="shared" ref="C238:N238" si="126">C236+C237</f>
        <v>0</v>
      </c>
      <c r="D238" s="34">
        <f t="shared" si="126"/>
        <v>0</v>
      </c>
      <c r="E238" s="34">
        <f t="shared" si="126"/>
        <v>0</v>
      </c>
      <c r="F238" s="34">
        <f t="shared" si="126"/>
        <v>0</v>
      </c>
      <c r="G238" s="34">
        <f t="shared" si="126"/>
        <v>0</v>
      </c>
      <c r="H238" s="34">
        <f t="shared" si="126"/>
        <v>0</v>
      </c>
      <c r="I238" s="34">
        <f t="shared" si="126"/>
        <v>0</v>
      </c>
      <c r="J238" s="34">
        <f t="shared" si="126"/>
        <v>0</v>
      </c>
      <c r="K238" s="34">
        <f t="shared" si="126"/>
        <v>0</v>
      </c>
      <c r="L238" s="34">
        <f t="shared" si="126"/>
        <v>0</v>
      </c>
      <c r="M238" s="34">
        <f t="shared" si="126"/>
        <v>0</v>
      </c>
      <c r="N238" s="34">
        <f t="shared" si="126"/>
        <v>0</v>
      </c>
      <c r="O238" s="34"/>
      <c r="P238" s="34"/>
    </row>
    <row r="239" spans="2:16" x14ac:dyDescent="0.25">
      <c r="B239" s="59" t="s">
        <v>81</v>
      </c>
      <c r="C239" s="59">
        <f t="shared" ref="C239:N239" si="127">C238</f>
        <v>0</v>
      </c>
      <c r="D239" s="59">
        <f t="shared" si="127"/>
        <v>0</v>
      </c>
      <c r="E239" s="59">
        <f t="shared" si="127"/>
        <v>0</v>
      </c>
      <c r="F239" s="59">
        <f t="shared" si="127"/>
        <v>0</v>
      </c>
      <c r="G239" s="59">
        <f t="shared" si="127"/>
        <v>0</v>
      </c>
      <c r="H239" s="59">
        <f t="shared" si="127"/>
        <v>0</v>
      </c>
      <c r="I239" s="59">
        <f t="shared" si="127"/>
        <v>0</v>
      </c>
      <c r="J239" s="59">
        <f t="shared" si="127"/>
        <v>0</v>
      </c>
      <c r="K239" s="59">
        <f t="shared" si="127"/>
        <v>0</v>
      </c>
      <c r="L239" s="59">
        <f t="shared" si="127"/>
        <v>0</v>
      </c>
      <c r="M239" s="59">
        <f t="shared" si="127"/>
        <v>0</v>
      </c>
      <c r="N239" s="59">
        <f t="shared" si="127"/>
        <v>0</v>
      </c>
      <c r="O239" s="60" t="s">
        <v>220</v>
      </c>
      <c r="P239" s="61">
        <v>0</v>
      </c>
    </row>
    <row r="242" spans="2:31" x14ac:dyDescent="0.25">
      <c r="B242" s="288" t="s">
        <v>162</v>
      </c>
      <c r="C242" s="288"/>
      <c r="D242" s="288"/>
      <c r="E242" s="288"/>
      <c r="F242" s="288"/>
      <c r="G242" s="288"/>
      <c r="H242" s="288"/>
      <c r="I242" s="288"/>
      <c r="J242" s="288"/>
      <c r="K242" s="288"/>
      <c r="L242" s="288"/>
      <c r="M242" s="288"/>
      <c r="N242" s="288"/>
      <c r="O242" s="288"/>
      <c r="P242" s="288"/>
    </row>
    <row r="243" spans="2:31" x14ac:dyDescent="0.25">
      <c r="B243" s="213"/>
      <c r="C243" s="215" t="s">
        <v>50</v>
      </c>
      <c r="D243" s="215" t="s">
        <v>51</v>
      </c>
      <c r="E243" s="215" t="s">
        <v>52</v>
      </c>
      <c r="F243" s="215" t="s">
        <v>53</v>
      </c>
      <c r="G243" s="215" t="s">
        <v>54</v>
      </c>
      <c r="H243" s="215" t="s">
        <v>55</v>
      </c>
      <c r="I243" s="215" t="s">
        <v>56</v>
      </c>
      <c r="J243" s="215" t="s">
        <v>57</v>
      </c>
      <c r="K243" s="215" t="s">
        <v>58</v>
      </c>
      <c r="L243" s="215" t="s">
        <v>59</v>
      </c>
      <c r="M243" s="215" t="s">
        <v>60</v>
      </c>
      <c r="N243" s="215" t="s">
        <v>61</v>
      </c>
      <c r="O243" s="220" t="s">
        <v>62</v>
      </c>
      <c r="P243" s="221"/>
      <c r="S243" s="283" t="s">
        <v>203</v>
      </c>
      <c r="T243" s="283" t="s">
        <v>50</v>
      </c>
      <c r="U243" s="283" t="s">
        <v>51</v>
      </c>
      <c r="V243" s="283" t="s">
        <v>52</v>
      </c>
      <c r="W243" s="283" t="s">
        <v>53</v>
      </c>
      <c r="X243" s="283" t="s">
        <v>54</v>
      </c>
      <c r="Y243" s="283" t="s">
        <v>55</v>
      </c>
      <c r="Z243" s="283" t="s">
        <v>56</v>
      </c>
      <c r="AA243" s="283" t="s">
        <v>57</v>
      </c>
      <c r="AB243" s="283" t="s">
        <v>58</v>
      </c>
      <c r="AC243" s="283" t="s">
        <v>59</v>
      </c>
      <c r="AD243" s="283" t="s">
        <v>60</v>
      </c>
      <c r="AE243" s="283" t="s">
        <v>61</v>
      </c>
    </row>
    <row r="244" spans="2:31" x14ac:dyDescent="0.25">
      <c r="B244" s="214"/>
      <c r="C244" s="216"/>
      <c r="D244" s="216"/>
      <c r="E244" s="216"/>
      <c r="F244" s="216"/>
      <c r="G244" s="216"/>
      <c r="H244" s="216"/>
      <c r="I244" s="216"/>
      <c r="J244" s="216"/>
      <c r="K244" s="216"/>
      <c r="L244" s="216"/>
      <c r="M244" s="216"/>
      <c r="N244" s="216"/>
      <c r="O244" s="58" t="s">
        <v>64</v>
      </c>
      <c r="P244" s="58" t="s">
        <v>65</v>
      </c>
      <c r="S244" s="283"/>
      <c r="T244" s="283"/>
      <c r="U244" s="283"/>
      <c r="V244" s="283"/>
      <c r="W244" s="283"/>
      <c r="X244" s="283"/>
      <c r="Y244" s="283"/>
      <c r="Z244" s="283"/>
      <c r="AA244" s="283"/>
      <c r="AB244" s="283"/>
      <c r="AC244" s="283"/>
      <c r="AD244" s="283"/>
      <c r="AE244" s="283"/>
    </row>
    <row r="245" spans="2:31" x14ac:dyDescent="0.25">
      <c r="B245" s="59" t="s">
        <v>68</v>
      </c>
      <c r="C245" s="59">
        <f t="shared" ref="C245:N245" si="128">C190</f>
        <v>1114.3693599999999</v>
      </c>
      <c r="D245" s="59">
        <f t="shared" si="128"/>
        <v>1114.3693599999999</v>
      </c>
      <c r="E245" s="59">
        <f t="shared" si="128"/>
        <v>1114.3693599999999</v>
      </c>
      <c r="F245" s="59">
        <f t="shared" si="128"/>
        <v>1114.3693599999999</v>
      </c>
      <c r="G245" s="59">
        <f t="shared" si="128"/>
        <v>1114.3693599999999</v>
      </c>
      <c r="H245" s="59">
        <f t="shared" si="128"/>
        <v>1114.3693599999999</v>
      </c>
      <c r="I245" s="59">
        <f t="shared" si="128"/>
        <v>1114.3693599999999</v>
      </c>
      <c r="J245" s="59">
        <f t="shared" si="128"/>
        <v>1114.3693599999999</v>
      </c>
      <c r="K245" s="59">
        <f t="shared" si="128"/>
        <v>1114.3693599999999</v>
      </c>
      <c r="L245" s="59">
        <f t="shared" si="128"/>
        <v>1114.3693599999999</v>
      </c>
      <c r="M245" s="59">
        <f t="shared" si="128"/>
        <v>1114.3693599999999</v>
      </c>
      <c r="N245" s="59">
        <f t="shared" si="128"/>
        <v>1114.3693599999999</v>
      </c>
      <c r="O245" s="34"/>
      <c r="P245" s="34"/>
      <c r="S245" s="59" t="s">
        <v>204</v>
      </c>
      <c r="T245" s="59">
        <f t="shared" ref="T245:AE245" si="129">C259</f>
        <v>6588.8440799999998</v>
      </c>
      <c r="U245" s="59">
        <f t="shared" si="129"/>
        <v>6686.216159999999</v>
      </c>
      <c r="V245" s="59">
        <f t="shared" si="129"/>
        <v>6686.216159999999</v>
      </c>
      <c r="W245" s="59">
        <f t="shared" si="129"/>
        <v>6686.216159999999</v>
      </c>
      <c r="X245" s="59">
        <f t="shared" si="129"/>
        <v>6686.216159999999</v>
      </c>
      <c r="Y245" s="59">
        <f t="shared" si="129"/>
        <v>6686.216159999999</v>
      </c>
      <c r="Z245" s="59">
        <f t="shared" si="129"/>
        <v>6686.216159999999</v>
      </c>
      <c r="AA245" s="59">
        <f t="shared" si="129"/>
        <v>6686.216159999999</v>
      </c>
      <c r="AB245" s="59">
        <f t="shared" si="129"/>
        <v>6686.216159999999</v>
      </c>
      <c r="AC245" s="59">
        <f t="shared" si="129"/>
        <v>6686.216159999999</v>
      </c>
      <c r="AD245" s="59">
        <f t="shared" si="129"/>
        <v>6686.216159999999</v>
      </c>
      <c r="AE245" s="59">
        <f t="shared" si="129"/>
        <v>6686.216159999999</v>
      </c>
    </row>
    <row r="246" spans="2:31" x14ac:dyDescent="0.25">
      <c r="B246" s="34" t="s">
        <v>79</v>
      </c>
      <c r="C246" s="34">
        <f t="shared" ref="C246:N246" si="130">C199</f>
        <v>378.88558239999998</v>
      </c>
      <c r="D246" s="34">
        <f t="shared" si="130"/>
        <v>378.88558239999998</v>
      </c>
      <c r="E246" s="34">
        <f t="shared" si="130"/>
        <v>378.88558239999998</v>
      </c>
      <c r="F246" s="34">
        <f t="shared" si="130"/>
        <v>378.88558239999998</v>
      </c>
      <c r="G246" s="34">
        <f t="shared" si="130"/>
        <v>378.88558239999998</v>
      </c>
      <c r="H246" s="34">
        <f t="shared" si="130"/>
        <v>378.88558239999998</v>
      </c>
      <c r="I246" s="34">
        <f t="shared" si="130"/>
        <v>378.88558239999998</v>
      </c>
      <c r="J246" s="34">
        <f t="shared" si="130"/>
        <v>378.88558239999998</v>
      </c>
      <c r="K246" s="34">
        <f t="shared" si="130"/>
        <v>378.88558239999998</v>
      </c>
      <c r="L246" s="34">
        <f t="shared" si="130"/>
        <v>378.88558239999998</v>
      </c>
      <c r="M246" s="34">
        <f t="shared" si="130"/>
        <v>378.88558239999998</v>
      </c>
      <c r="N246" s="34">
        <f t="shared" si="130"/>
        <v>378.88558239999998</v>
      </c>
      <c r="O246" s="34"/>
      <c r="P246" s="34"/>
      <c r="S246" s="34" t="s">
        <v>205</v>
      </c>
      <c r="T246" s="34"/>
      <c r="U246" s="34"/>
      <c r="V246" s="34"/>
      <c r="W246" s="34"/>
      <c r="X246" s="34"/>
      <c r="Y246" s="34"/>
      <c r="Z246" s="34"/>
      <c r="AA246" s="34"/>
      <c r="AB246" s="34"/>
      <c r="AC246" s="34"/>
      <c r="AD246" s="34"/>
      <c r="AE246" s="34"/>
    </row>
    <row r="247" spans="2:31" x14ac:dyDescent="0.25">
      <c r="B247" s="34" t="s">
        <v>86</v>
      </c>
      <c r="C247" s="34">
        <f t="shared" ref="C247:N247" si="131">C208+C212</f>
        <v>1575.5238095238096</v>
      </c>
      <c r="D247" s="34">
        <f t="shared" si="131"/>
        <v>1575.5238095238096</v>
      </c>
      <c r="E247" s="34">
        <f t="shared" si="131"/>
        <v>1575.5238095238096</v>
      </c>
      <c r="F247" s="34">
        <f t="shared" si="131"/>
        <v>1575.5238095238096</v>
      </c>
      <c r="G247" s="34">
        <f t="shared" si="131"/>
        <v>1575.5238095238096</v>
      </c>
      <c r="H247" s="34">
        <f t="shared" si="131"/>
        <v>1575.5238095238096</v>
      </c>
      <c r="I247" s="34">
        <f t="shared" si="131"/>
        <v>1575.5238095238096</v>
      </c>
      <c r="J247" s="34">
        <f t="shared" si="131"/>
        <v>1575.5238095238096</v>
      </c>
      <c r="K247" s="34">
        <f t="shared" si="131"/>
        <v>1575.5238095238096</v>
      </c>
      <c r="L247" s="34">
        <f t="shared" si="131"/>
        <v>1575.5238095238096</v>
      </c>
      <c r="M247" s="34">
        <f t="shared" si="131"/>
        <v>1575.5238095238096</v>
      </c>
      <c r="N247" s="34">
        <f t="shared" si="131"/>
        <v>1575.5238095238096</v>
      </c>
      <c r="O247" s="34"/>
      <c r="P247" s="34"/>
      <c r="S247" s="34" t="s">
        <v>206</v>
      </c>
      <c r="T247" s="34"/>
      <c r="U247" s="34"/>
      <c r="V247" s="34"/>
      <c r="W247" s="34"/>
      <c r="X247" s="34"/>
      <c r="Y247" s="34"/>
      <c r="Z247" s="34"/>
      <c r="AA247" s="34"/>
      <c r="AB247" s="34"/>
      <c r="AC247" s="34"/>
      <c r="AD247" s="34"/>
      <c r="AE247" s="34"/>
    </row>
    <row r="248" spans="2:31" x14ac:dyDescent="0.25">
      <c r="B248" s="59" t="s">
        <v>113</v>
      </c>
      <c r="C248" s="59">
        <f t="shared" ref="C248:N248" si="132">C237</f>
        <v>0</v>
      </c>
      <c r="D248" s="59">
        <f t="shared" si="132"/>
        <v>0</v>
      </c>
      <c r="E248" s="59">
        <f t="shared" si="132"/>
        <v>0</v>
      </c>
      <c r="F248" s="59">
        <f t="shared" si="132"/>
        <v>0</v>
      </c>
      <c r="G248" s="59">
        <f t="shared" si="132"/>
        <v>0</v>
      </c>
      <c r="H248" s="59">
        <f t="shared" si="132"/>
        <v>0</v>
      </c>
      <c r="I248" s="59">
        <f t="shared" si="132"/>
        <v>0</v>
      </c>
      <c r="J248" s="59">
        <f t="shared" si="132"/>
        <v>0</v>
      </c>
      <c r="K248" s="59">
        <f t="shared" si="132"/>
        <v>0</v>
      </c>
      <c r="L248" s="59">
        <f t="shared" si="132"/>
        <v>0</v>
      </c>
      <c r="M248" s="59">
        <f t="shared" si="132"/>
        <v>0</v>
      </c>
      <c r="N248" s="59">
        <f t="shared" si="132"/>
        <v>0</v>
      </c>
      <c r="O248" s="34"/>
      <c r="P248" s="34"/>
      <c r="S248" s="34" t="s">
        <v>207</v>
      </c>
      <c r="T248" s="34"/>
      <c r="U248" s="34"/>
      <c r="V248" s="34"/>
      <c r="W248" s="34"/>
      <c r="X248" s="34"/>
      <c r="Y248" s="34"/>
      <c r="Z248" s="34"/>
      <c r="AA248" s="34"/>
      <c r="AB248" s="34"/>
      <c r="AC248" s="34"/>
      <c r="AD248" s="34"/>
      <c r="AE248" s="34"/>
    </row>
    <row r="249" spans="2:31" x14ac:dyDescent="0.25">
      <c r="B249" s="44" t="s">
        <v>117</v>
      </c>
      <c r="C249" s="42">
        <f t="shared" ref="C249:N249" si="133">C246+C247+C248</f>
        <v>1954.4093919238096</v>
      </c>
      <c r="D249" s="42">
        <f t="shared" si="133"/>
        <v>1954.4093919238096</v>
      </c>
      <c r="E249" s="42">
        <f t="shared" si="133"/>
        <v>1954.4093919238096</v>
      </c>
      <c r="F249" s="42">
        <f t="shared" si="133"/>
        <v>1954.4093919238096</v>
      </c>
      <c r="G249" s="42">
        <f t="shared" si="133"/>
        <v>1954.4093919238096</v>
      </c>
      <c r="H249" s="42">
        <f t="shared" si="133"/>
        <v>1954.4093919238096</v>
      </c>
      <c r="I249" s="42">
        <f t="shared" si="133"/>
        <v>1954.4093919238096</v>
      </c>
      <c r="J249" s="42">
        <f t="shared" si="133"/>
        <v>1954.4093919238096</v>
      </c>
      <c r="K249" s="42">
        <f t="shared" si="133"/>
        <v>1954.4093919238096</v>
      </c>
      <c r="L249" s="42">
        <f t="shared" si="133"/>
        <v>1954.4093919238096</v>
      </c>
      <c r="M249" s="42">
        <f t="shared" si="133"/>
        <v>1954.4093919238096</v>
      </c>
      <c r="N249" s="42">
        <f t="shared" si="133"/>
        <v>1954.4093919238096</v>
      </c>
      <c r="O249" s="34"/>
      <c r="P249" s="34"/>
      <c r="S249" s="59" t="s">
        <v>210</v>
      </c>
      <c r="T249" s="59">
        <f t="shared" ref="T249:AE249" si="134">T245+T248</f>
        <v>6588.8440799999998</v>
      </c>
      <c r="U249" s="59">
        <f t="shared" si="134"/>
        <v>6686.216159999999</v>
      </c>
      <c r="V249" s="59">
        <f t="shared" si="134"/>
        <v>6686.216159999999</v>
      </c>
      <c r="W249" s="59">
        <f t="shared" si="134"/>
        <v>6686.216159999999</v>
      </c>
      <c r="X249" s="59">
        <f t="shared" si="134"/>
        <v>6686.216159999999</v>
      </c>
      <c r="Y249" s="59">
        <f t="shared" si="134"/>
        <v>6686.216159999999</v>
      </c>
      <c r="Z249" s="59">
        <f t="shared" si="134"/>
        <v>6686.216159999999</v>
      </c>
      <c r="AA249" s="59">
        <f t="shared" si="134"/>
        <v>6686.216159999999</v>
      </c>
      <c r="AB249" s="59">
        <f t="shared" si="134"/>
        <v>6686.216159999999</v>
      </c>
      <c r="AC249" s="59">
        <f t="shared" si="134"/>
        <v>6686.216159999999</v>
      </c>
      <c r="AD249" s="59">
        <f t="shared" si="134"/>
        <v>6686.216159999999</v>
      </c>
      <c r="AE249" s="59">
        <f t="shared" si="134"/>
        <v>6686.216159999999</v>
      </c>
    </row>
    <row r="250" spans="2:31" x14ac:dyDescent="0.25">
      <c r="B250" s="45" t="s">
        <v>118</v>
      </c>
      <c r="C250" s="43">
        <f t="shared" ref="C250:N250" si="135">C245-C249</f>
        <v>-840.04003192380969</v>
      </c>
      <c r="D250" s="43">
        <f t="shared" si="135"/>
        <v>-840.04003192380969</v>
      </c>
      <c r="E250" s="43">
        <f t="shared" si="135"/>
        <v>-840.04003192380969</v>
      </c>
      <c r="F250" s="43">
        <f t="shared" si="135"/>
        <v>-840.04003192380969</v>
      </c>
      <c r="G250" s="43">
        <f t="shared" si="135"/>
        <v>-840.04003192380969</v>
      </c>
      <c r="H250" s="43">
        <f t="shared" si="135"/>
        <v>-840.04003192380969</v>
      </c>
      <c r="I250" s="43">
        <f t="shared" si="135"/>
        <v>-840.04003192380969</v>
      </c>
      <c r="J250" s="43">
        <f t="shared" si="135"/>
        <v>-840.04003192380969</v>
      </c>
      <c r="K250" s="43">
        <f t="shared" si="135"/>
        <v>-840.04003192380969</v>
      </c>
      <c r="L250" s="43">
        <f t="shared" si="135"/>
        <v>-840.04003192380969</v>
      </c>
      <c r="M250" s="43">
        <f t="shared" si="135"/>
        <v>-840.04003192380969</v>
      </c>
      <c r="N250" s="43">
        <f t="shared" si="135"/>
        <v>-840.04003192380969</v>
      </c>
      <c r="O250" s="34"/>
      <c r="P250" s="34"/>
      <c r="S250" s="34" t="s">
        <v>211</v>
      </c>
      <c r="T250" s="34">
        <f t="shared" ref="T250:AE250" si="136">C269</f>
        <v>46822.966035352387</v>
      </c>
      <c r="U250" s="34">
        <f t="shared" si="136"/>
        <v>46761.416319619049</v>
      </c>
      <c r="V250" s="34">
        <f t="shared" si="136"/>
        <v>46761.416319619049</v>
      </c>
      <c r="W250" s="34">
        <f t="shared" si="136"/>
        <v>46761.416319619049</v>
      </c>
      <c r="X250" s="34">
        <f t="shared" si="136"/>
        <v>46761.416319619049</v>
      </c>
      <c r="Y250" s="34">
        <f t="shared" si="136"/>
        <v>46761.416319619049</v>
      </c>
      <c r="Z250" s="34">
        <f t="shared" si="136"/>
        <v>46761.416319619049</v>
      </c>
      <c r="AA250" s="34">
        <f t="shared" si="136"/>
        <v>46761.416319619049</v>
      </c>
      <c r="AB250" s="34">
        <f t="shared" si="136"/>
        <v>46761.416319619049</v>
      </c>
      <c r="AC250" s="34">
        <f t="shared" si="136"/>
        <v>54961.416319619049</v>
      </c>
      <c r="AD250" s="34">
        <f t="shared" si="136"/>
        <v>46761.416319619049</v>
      </c>
      <c r="AE250" s="34">
        <f t="shared" si="136"/>
        <v>46761.416319619049</v>
      </c>
    </row>
    <row r="251" spans="2:31" x14ac:dyDescent="0.25">
      <c r="B251" s="59" t="s">
        <v>81</v>
      </c>
      <c r="C251" s="59">
        <f>P159</f>
        <v>-778.49031619047605</v>
      </c>
      <c r="D251" s="59">
        <f t="shared" ref="D251:N251" si="137">C250</f>
        <v>-840.04003192380969</v>
      </c>
      <c r="E251" s="59">
        <f t="shared" si="137"/>
        <v>-840.04003192380969</v>
      </c>
      <c r="F251" s="59">
        <f t="shared" si="137"/>
        <v>-840.04003192380969</v>
      </c>
      <c r="G251" s="59">
        <f t="shared" si="137"/>
        <v>-840.04003192380969</v>
      </c>
      <c r="H251" s="59">
        <f t="shared" si="137"/>
        <v>-840.04003192380969</v>
      </c>
      <c r="I251" s="59">
        <f t="shared" si="137"/>
        <v>-840.04003192380969</v>
      </c>
      <c r="J251" s="59">
        <f t="shared" si="137"/>
        <v>-840.04003192380969</v>
      </c>
      <c r="K251" s="59">
        <f t="shared" si="137"/>
        <v>-840.04003192380969</v>
      </c>
      <c r="L251" s="59">
        <f t="shared" si="137"/>
        <v>-840.04003192380969</v>
      </c>
      <c r="M251" s="59">
        <f t="shared" si="137"/>
        <v>-840.04003192380969</v>
      </c>
      <c r="N251" s="59">
        <f t="shared" si="137"/>
        <v>-840.04003192380969</v>
      </c>
      <c r="O251" s="60" t="s">
        <v>119</v>
      </c>
      <c r="P251" s="61">
        <f>N250</f>
        <v>-840.04003192380969</v>
      </c>
      <c r="S251" s="34" t="s">
        <v>212</v>
      </c>
      <c r="T251" s="34">
        <f>AE153*0.07</f>
        <v>177.10000000000002</v>
      </c>
      <c r="U251" s="34">
        <f t="shared" ref="U251:AE251" si="138">T248*0.07</f>
        <v>0</v>
      </c>
      <c r="V251" s="34">
        <f t="shared" si="138"/>
        <v>0</v>
      </c>
      <c r="W251" s="34">
        <f t="shared" si="138"/>
        <v>0</v>
      </c>
      <c r="X251" s="34">
        <f t="shared" si="138"/>
        <v>0</v>
      </c>
      <c r="Y251" s="34">
        <f t="shared" si="138"/>
        <v>0</v>
      </c>
      <c r="Z251" s="34">
        <f t="shared" si="138"/>
        <v>0</v>
      </c>
      <c r="AA251" s="34">
        <f t="shared" si="138"/>
        <v>0</v>
      </c>
      <c r="AB251" s="34">
        <f t="shared" si="138"/>
        <v>0</v>
      </c>
      <c r="AC251" s="34">
        <f t="shared" si="138"/>
        <v>0</v>
      </c>
      <c r="AD251" s="34">
        <f t="shared" si="138"/>
        <v>0</v>
      </c>
      <c r="AE251" s="34">
        <f t="shared" si="138"/>
        <v>0</v>
      </c>
    </row>
    <row r="252" spans="2:31" x14ac:dyDescent="0.25">
      <c r="S252" s="59" t="s">
        <v>213</v>
      </c>
      <c r="T252" s="59">
        <f t="shared" ref="T252:AE252" si="139">T250+T251</f>
        <v>47000.066035352385</v>
      </c>
      <c r="U252" s="59">
        <f t="shared" si="139"/>
        <v>46761.416319619049</v>
      </c>
      <c r="V252" s="59">
        <f t="shared" si="139"/>
        <v>46761.416319619049</v>
      </c>
      <c r="W252" s="59">
        <f t="shared" si="139"/>
        <v>46761.416319619049</v>
      </c>
      <c r="X252" s="59">
        <f t="shared" si="139"/>
        <v>46761.416319619049</v>
      </c>
      <c r="Y252" s="59">
        <f t="shared" si="139"/>
        <v>46761.416319619049</v>
      </c>
      <c r="Z252" s="59">
        <f t="shared" si="139"/>
        <v>46761.416319619049</v>
      </c>
      <c r="AA252" s="59">
        <f t="shared" si="139"/>
        <v>46761.416319619049</v>
      </c>
      <c r="AB252" s="59">
        <f t="shared" si="139"/>
        <v>46761.416319619049</v>
      </c>
      <c r="AC252" s="59">
        <f t="shared" si="139"/>
        <v>54961.416319619049</v>
      </c>
      <c r="AD252" s="59">
        <f t="shared" si="139"/>
        <v>46761.416319619049</v>
      </c>
      <c r="AE252" s="59">
        <f t="shared" si="139"/>
        <v>46761.416319619049</v>
      </c>
    </row>
    <row r="253" spans="2:31" x14ac:dyDescent="0.25">
      <c r="S253" s="34" t="s">
        <v>132</v>
      </c>
      <c r="T253" s="34">
        <f>AE160</f>
        <v>-993668.63052571437</v>
      </c>
      <c r="U253" s="34">
        <f t="shared" ref="U253:AE253" si="140">T255</f>
        <v>-1034079.8524810667</v>
      </c>
      <c r="V253" s="34">
        <f t="shared" si="140"/>
        <v>-1074155.0526406858</v>
      </c>
      <c r="W253" s="34">
        <f t="shared" si="140"/>
        <v>-1114230.2528003049</v>
      </c>
      <c r="X253" s="34">
        <f t="shared" si="140"/>
        <v>-1154305.452959924</v>
      </c>
      <c r="Y253" s="34">
        <f t="shared" si="140"/>
        <v>-1194380.6531195431</v>
      </c>
      <c r="Z253" s="34">
        <f t="shared" si="140"/>
        <v>-1234455.8532791622</v>
      </c>
      <c r="AA253" s="34">
        <f t="shared" si="140"/>
        <v>-1274531.0534387813</v>
      </c>
      <c r="AB253" s="34">
        <f t="shared" si="140"/>
        <v>-1314606.2535984004</v>
      </c>
      <c r="AC253" s="34">
        <f t="shared" si="140"/>
        <v>-1354681.4537580195</v>
      </c>
      <c r="AD253" s="34">
        <f t="shared" si="140"/>
        <v>-1402956.6539176386</v>
      </c>
      <c r="AE253" s="34">
        <f t="shared" si="140"/>
        <v>-1443031.8540772577</v>
      </c>
    </row>
    <row r="254" spans="2:31" x14ac:dyDescent="0.25">
      <c r="B254" s="288" t="s">
        <v>163</v>
      </c>
      <c r="C254" s="288"/>
      <c r="D254" s="288"/>
      <c r="E254" s="288"/>
      <c r="F254" s="288"/>
      <c r="G254" s="288"/>
      <c r="H254" s="288"/>
      <c r="I254" s="288"/>
      <c r="J254" s="288"/>
      <c r="K254" s="288"/>
      <c r="L254" s="288"/>
      <c r="M254" s="288"/>
      <c r="N254" s="288"/>
      <c r="O254" s="288"/>
      <c r="P254" s="288"/>
      <c r="S254" s="34" t="s">
        <v>133</v>
      </c>
      <c r="T254" s="34">
        <f t="shared" ref="T254:AE254" si="141">T249-T252</f>
        <v>-40411.221955352383</v>
      </c>
      <c r="U254" s="34">
        <f t="shared" si="141"/>
        <v>-40075.200159619053</v>
      </c>
      <c r="V254" s="34">
        <f t="shared" si="141"/>
        <v>-40075.200159619053</v>
      </c>
      <c r="W254" s="34">
        <f t="shared" si="141"/>
        <v>-40075.200159619053</v>
      </c>
      <c r="X254" s="34">
        <f t="shared" si="141"/>
        <v>-40075.200159619053</v>
      </c>
      <c r="Y254" s="34">
        <f t="shared" si="141"/>
        <v>-40075.200159619053</v>
      </c>
      <c r="Z254" s="34">
        <f t="shared" si="141"/>
        <v>-40075.200159619053</v>
      </c>
      <c r="AA254" s="34">
        <f t="shared" si="141"/>
        <v>-40075.200159619053</v>
      </c>
      <c r="AB254" s="34">
        <f t="shared" si="141"/>
        <v>-40075.200159619053</v>
      </c>
      <c r="AC254" s="34">
        <f t="shared" si="141"/>
        <v>-48275.200159619053</v>
      </c>
      <c r="AD254" s="34">
        <f t="shared" si="141"/>
        <v>-40075.200159619053</v>
      </c>
      <c r="AE254" s="34">
        <f t="shared" si="141"/>
        <v>-40075.200159619053</v>
      </c>
    </row>
    <row r="255" spans="2:31" x14ac:dyDescent="0.25">
      <c r="B255" s="213"/>
      <c r="C255" s="215" t="s">
        <v>50</v>
      </c>
      <c r="D255" s="215" t="s">
        <v>51</v>
      </c>
      <c r="E255" s="215" t="s">
        <v>52</v>
      </c>
      <c r="F255" s="215" t="s">
        <v>53</v>
      </c>
      <c r="G255" s="215" t="s">
        <v>54</v>
      </c>
      <c r="H255" s="215" t="s">
        <v>55</v>
      </c>
      <c r="I255" s="215" t="s">
        <v>56</v>
      </c>
      <c r="J255" s="215" t="s">
        <v>57</v>
      </c>
      <c r="K255" s="215" t="s">
        <v>58</v>
      </c>
      <c r="L255" s="215" t="s">
        <v>59</v>
      </c>
      <c r="M255" s="215" t="s">
        <v>60</v>
      </c>
      <c r="N255" s="215" t="s">
        <v>61</v>
      </c>
      <c r="O255" s="220" t="s">
        <v>62</v>
      </c>
      <c r="P255" s="221"/>
      <c r="S255" s="34" t="s">
        <v>214</v>
      </c>
      <c r="T255" s="34">
        <f t="shared" ref="T255:AE255" si="142">T253+T254</f>
        <v>-1034079.8524810667</v>
      </c>
      <c r="U255" s="34">
        <f t="shared" si="142"/>
        <v>-1074155.0526406858</v>
      </c>
      <c r="V255" s="34">
        <f t="shared" si="142"/>
        <v>-1114230.2528003049</v>
      </c>
      <c r="W255" s="34">
        <f t="shared" si="142"/>
        <v>-1154305.452959924</v>
      </c>
      <c r="X255" s="34">
        <f t="shared" si="142"/>
        <v>-1194380.6531195431</v>
      </c>
      <c r="Y255" s="34">
        <f t="shared" si="142"/>
        <v>-1234455.8532791622</v>
      </c>
      <c r="Z255" s="34">
        <f t="shared" si="142"/>
        <v>-1274531.0534387813</v>
      </c>
      <c r="AA255" s="34">
        <f t="shared" si="142"/>
        <v>-1314606.2535984004</v>
      </c>
      <c r="AB255" s="34">
        <f t="shared" si="142"/>
        <v>-1354681.4537580195</v>
      </c>
      <c r="AC255" s="34">
        <f t="shared" si="142"/>
        <v>-1402956.6539176386</v>
      </c>
      <c r="AD255" s="34">
        <f t="shared" si="142"/>
        <v>-1443031.8540772577</v>
      </c>
      <c r="AE255" s="34">
        <f t="shared" si="142"/>
        <v>-1483107.0542368768</v>
      </c>
    </row>
    <row r="256" spans="2:31" x14ac:dyDescent="0.25">
      <c r="B256" s="214"/>
      <c r="C256" s="216"/>
      <c r="D256" s="216"/>
      <c r="E256" s="216"/>
      <c r="F256" s="216"/>
      <c r="G256" s="216"/>
      <c r="H256" s="216"/>
      <c r="I256" s="216"/>
      <c r="J256" s="216"/>
      <c r="K256" s="216"/>
      <c r="L256" s="216"/>
      <c r="M256" s="216"/>
      <c r="N256" s="216"/>
      <c r="O256" s="58" t="s">
        <v>64</v>
      </c>
      <c r="P256" s="58" t="s">
        <v>65</v>
      </c>
    </row>
    <row r="257" spans="2:31" x14ac:dyDescent="0.25">
      <c r="B257" s="35" t="s">
        <v>121</v>
      </c>
      <c r="C257" s="35">
        <f t="shared" ref="C257:N257" si="143">C192</f>
        <v>6588.8440799999998</v>
      </c>
      <c r="D257" s="35">
        <f t="shared" si="143"/>
        <v>6686.216159999999</v>
      </c>
      <c r="E257" s="35">
        <f t="shared" si="143"/>
        <v>6686.216159999999</v>
      </c>
      <c r="F257" s="35">
        <f t="shared" si="143"/>
        <v>6686.216159999999</v>
      </c>
      <c r="G257" s="35">
        <f t="shared" si="143"/>
        <v>6686.216159999999</v>
      </c>
      <c r="H257" s="35">
        <f t="shared" si="143"/>
        <v>6686.216159999999</v>
      </c>
      <c r="I257" s="35">
        <f t="shared" si="143"/>
        <v>6686.216159999999</v>
      </c>
      <c r="J257" s="43">
        <f t="shared" si="143"/>
        <v>6686.216159999999</v>
      </c>
      <c r="K257" s="35">
        <f t="shared" si="143"/>
        <v>6686.216159999999</v>
      </c>
      <c r="L257" s="35">
        <f t="shared" si="143"/>
        <v>6686.216159999999</v>
      </c>
      <c r="M257" s="35">
        <f t="shared" si="143"/>
        <v>6686.216159999999</v>
      </c>
      <c r="N257" s="35">
        <f t="shared" si="143"/>
        <v>6686.216159999999</v>
      </c>
      <c r="O257" s="34"/>
      <c r="P257" s="34"/>
    </row>
    <row r="258" spans="2:31" x14ac:dyDescent="0.25">
      <c r="B258" s="34" t="s">
        <v>122</v>
      </c>
      <c r="C258" s="34"/>
      <c r="D258" s="34"/>
      <c r="E258" s="34"/>
      <c r="F258" s="34"/>
      <c r="G258" s="34"/>
      <c r="H258" s="34"/>
      <c r="I258" s="34"/>
      <c r="J258" s="34"/>
      <c r="K258" s="34"/>
      <c r="L258" s="34"/>
      <c r="M258" s="34"/>
      <c r="N258" s="34"/>
      <c r="O258" s="34"/>
      <c r="P258" s="34"/>
    </row>
    <row r="259" spans="2:31" x14ac:dyDescent="0.25">
      <c r="B259" s="59" t="s">
        <v>123</v>
      </c>
      <c r="C259" s="59">
        <f t="shared" ref="C259:N259" si="144">C258+C257</f>
        <v>6588.8440799999998</v>
      </c>
      <c r="D259" s="59">
        <f t="shared" si="144"/>
        <v>6686.216159999999</v>
      </c>
      <c r="E259" s="59">
        <f t="shared" si="144"/>
        <v>6686.216159999999</v>
      </c>
      <c r="F259" s="59">
        <f t="shared" si="144"/>
        <v>6686.216159999999</v>
      </c>
      <c r="G259" s="59">
        <f t="shared" si="144"/>
        <v>6686.216159999999</v>
      </c>
      <c r="H259" s="59">
        <f t="shared" si="144"/>
        <v>6686.216159999999</v>
      </c>
      <c r="I259" s="59">
        <f t="shared" si="144"/>
        <v>6686.216159999999</v>
      </c>
      <c r="J259" s="59">
        <f t="shared" si="144"/>
        <v>6686.216159999999</v>
      </c>
      <c r="K259" s="59">
        <f t="shared" si="144"/>
        <v>6686.216159999999</v>
      </c>
      <c r="L259" s="59">
        <f t="shared" si="144"/>
        <v>6686.216159999999</v>
      </c>
      <c r="M259" s="59">
        <f t="shared" si="144"/>
        <v>6686.216159999999</v>
      </c>
      <c r="N259" s="59">
        <f t="shared" si="144"/>
        <v>6686.216159999999</v>
      </c>
      <c r="O259" s="34"/>
      <c r="P259" s="34"/>
      <c r="S259" s="228" t="s">
        <v>154</v>
      </c>
      <c r="T259" s="229"/>
      <c r="V259" s="224" t="s">
        <v>157</v>
      </c>
      <c r="W259" s="224"/>
      <c r="X259" s="224"/>
      <c r="Y259" s="224"/>
      <c r="Z259" s="224"/>
      <c r="AA259" s="224"/>
    </row>
    <row r="260" spans="2:31" ht="30" x14ac:dyDescent="0.25">
      <c r="B260" s="39" t="s">
        <v>124</v>
      </c>
      <c r="C260" s="41">
        <f t="shared" ref="C260:N260" si="145">C201</f>
        <v>2273.3134943999999</v>
      </c>
      <c r="D260" s="41">
        <f t="shared" si="145"/>
        <v>2273.3134943999999</v>
      </c>
      <c r="E260" s="41">
        <f t="shared" si="145"/>
        <v>2273.3134943999999</v>
      </c>
      <c r="F260" s="41">
        <f t="shared" si="145"/>
        <v>2273.3134943999999</v>
      </c>
      <c r="G260" s="41">
        <f t="shared" si="145"/>
        <v>2273.3134943999999</v>
      </c>
      <c r="H260" s="41">
        <f t="shared" si="145"/>
        <v>2273.3134943999999</v>
      </c>
      <c r="I260" s="41">
        <f t="shared" si="145"/>
        <v>2273.3134943999999</v>
      </c>
      <c r="J260" s="41">
        <f t="shared" si="145"/>
        <v>2273.3134943999999</v>
      </c>
      <c r="K260" s="41">
        <f t="shared" si="145"/>
        <v>2273.3134943999999</v>
      </c>
      <c r="L260" s="41">
        <f t="shared" si="145"/>
        <v>2273.3134943999999</v>
      </c>
      <c r="M260" s="41">
        <f t="shared" si="145"/>
        <v>2273.3134943999999</v>
      </c>
      <c r="N260" s="41">
        <f t="shared" si="145"/>
        <v>2273.3134943999999</v>
      </c>
      <c r="O260" s="34"/>
      <c r="P260" s="34"/>
      <c r="S260" s="143" t="s">
        <v>1</v>
      </c>
      <c r="T260" s="21">
        <f>P189</f>
        <v>66862.161599999992</v>
      </c>
      <c r="V260" s="144" t="s">
        <v>2</v>
      </c>
      <c r="W260" s="145" t="s">
        <v>3</v>
      </c>
      <c r="X260" s="145" t="s">
        <v>4</v>
      </c>
      <c r="Y260" s="145" t="s">
        <v>5</v>
      </c>
      <c r="Z260" s="146" t="s">
        <v>6</v>
      </c>
      <c r="AA260" s="147" t="s">
        <v>5</v>
      </c>
      <c r="AB260" s="287"/>
      <c r="AC260" s="286"/>
      <c r="AD260" s="286"/>
      <c r="AE260" s="286"/>
    </row>
    <row r="261" spans="2:31" x14ac:dyDescent="0.25">
      <c r="B261" s="39" t="s">
        <v>125</v>
      </c>
      <c r="C261" s="41"/>
      <c r="D261" s="41"/>
      <c r="E261" s="41"/>
      <c r="F261" s="41"/>
      <c r="G261" s="41"/>
      <c r="H261" s="41"/>
      <c r="I261" s="41"/>
      <c r="J261" s="41"/>
      <c r="K261" s="41"/>
      <c r="L261" s="41"/>
      <c r="M261" s="41"/>
      <c r="N261" s="41"/>
      <c r="O261" s="34"/>
      <c r="P261" s="34"/>
      <c r="S261" s="143" t="s">
        <v>67</v>
      </c>
      <c r="T261" s="21">
        <v>0</v>
      </c>
      <c r="V261" s="148" t="s">
        <v>8</v>
      </c>
      <c r="W261" s="148">
        <f>SUM(W262:W265)</f>
        <v>214000</v>
      </c>
      <c r="X261" s="148">
        <f>SUM(X262:X263)</f>
        <v>61600</v>
      </c>
      <c r="Y261" s="148">
        <f>SUM(Y262:Y263)</f>
        <v>152400</v>
      </c>
      <c r="Z261" s="148" t="s">
        <v>9</v>
      </c>
      <c r="AA261" s="149">
        <f>SUM(AA262:AA265)</f>
        <v>-1381067.9061249525</v>
      </c>
      <c r="AB261" s="287"/>
      <c r="AC261" s="286"/>
      <c r="AD261" s="286"/>
      <c r="AE261" s="286"/>
    </row>
    <row r="262" spans="2:31" ht="30" x14ac:dyDescent="0.25">
      <c r="B262" s="39" t="s">
        <v>126</v>
      </c>
      <c r="C262" s="41">
        <f t="shared" ref="C262:N262" si="146">C218</f>
        <v>25625</v>
      </c>
      <c r="D262" s="41">
        <f t="shared" si="146"/>
        <v>25625</v>
      </c>
      <c r="E262" s="41">
        <f t="shared" si="146"/>
        <v>25625</v>
      </c>
      <c r="F262" s="41">
        <f t="shared" si="146"/>
        <v>25625</v>
      </c>
      <c r="G262" s="41">
        <f t="shared" si="146"/>
        <v>25625</v>
      </c>
      <c r="H262" s="41">
        <f t="shared" si="146"/>
        <v>25625</v>
      </c>
      <c r="I262" s="41">
        <f t="shared" si="146"/>
        <v>25625</v>
      </c>
      <c r="J262" s="41">
        <f t="shared" si="146"/>
        <v>25625</v>
      </c>
      <c r="K262" s="41">
        <f t="shared" si="146"/>
        <v>25625</v>
      </c>
      <c r="L262" s="41">
        <f t="shared" si="146"/>
        <v>25625</v>
      </c>
      <c r="M262" s="41">
        <f t="shared" si="146"/>
        <v>25625</v>
      </c>
      <c r="N262" s="41">
        <f t="shared" si="146"/>
        <v>25625</v>
      </c>
      <c r="O262" s="34"/>
      <c r="P262" s="34"/>
      <c r="S262" s="144" t="s">
        <v>10</v>
      </c>
      <c r="T262" s="131">
        <f>T260+T261</f>
        <v>66862.161599999992</v>
      </c>
      <c r="V262" s="150" t="s">
        <v>11</v>
      </c>
      <c r="W262" s="150">
        <f>W167</f>
        <v>159000</v>
      </c>
      <c r="X262" s="150">
        <f>X167+P216*0.75</f>
        <v>25375</v>
      </c>
      <c r="Y262" s="150">
        <f>W262-X262</f>
        <v>133625</v>
      </c>
      <c r="Z262" s="150" t="s">
        <v>12</v>
      </c>
      <c r="AA262" s="151">
        <f>AA167</f>
        <v>80000</v>
      </c>
      <c r="AB262" s="162"/>
      <c r="AC262" s="118"/>
      <c r="AD262" s="118"/>
      <c r="AE262" s="118"/>
    </row>
    <row r="263" spans="2:31" x14ac:dyDescent="0.25">
      <c r="B263" s="35" t="s">
        <v>21</v>
      </c>
      <c r="C263" s="35">
        <f>C220</f>
        <v>10250</v>
      </c>
      <c r="D263" s="35">
        <f t="shared" ref="D263:N263" si="147">D220</f>
        <v>10250</v>
      </c>
      <c r="E263" s="35">
        <f t="shared" si="147"/>
        <v>10250</v>
      </c>
      <c r="F263" s="35">
        <f t="shared" si="147"/>
        <v>10250</v>
      </c>
      <c r="G263" s="35">
        <f t="shared" si="147"/>
        <v>10250</v>
      </c>
      <c r="H263" s="35">
        <f t="shared" si="147"/>
        <v>10250</v>
      </c>
      <c r="I263" s="35">
        <f t="shared" si="147"/>
        <v>10250</v>
      </c>
      <c r="J263" s="35">
        <f t="shared" si="147"/>
        <v>10250</v>
      </c>
      <c r="K263" s="35">
        <f t="shared" si="147"/>
        <v>10250</v>
      </c>
      <c r="L263" s="35">
        <f t="shared" si="147"/>
        <v>10250</v>
      </c>
      <c r="M263" s="35">
        <f t="shared" si="147"/>
        <v>10250</v>
      </c>
      <c r="N263" s="35">
        <f t="shared" si="147"/>
        <v>10250</v>
      </c>
      <c r="O263" s="34"/>
      <c r="P263" s="34"/>
      <c r="S263" s="143" t="s">
        <v>70</v>
      </c>
      <c r="T263" s="21">
        <f>P198</f>
        <v>22733.134943999994</v>
      </c>
      <c r="V263" s="150" t="s">
        <v>14</v>
      </c>
      <c r="W263" s="150">
        <f>W168</f>
        <v>55000</v>
      </c>
      <c r="X263" s="150">
        <f>X168+P216*0.25</f>
        <v>36225</v>
      </c>
      <c r="Y263" s="150">
        <f>W263-X263</f>
        <v>18775</v>
      </c>
      <c r="Z263" s="150" t="s">
        <v>15</v>
      </c>
      <c r="AA263" s="151">
        <v>5000</v>
      </c>
      <c r="AB263" s="152"/>
    </row>
    <row r="264" spans="2:31" x14ac:dyDescent="0.25">
      <c r="B264" s="34" t="s">
        <v>102</v>
      </c>
      <c r="C264" s="34">
        <f t="shared" ref="C264:N264" si="148">C227</f>
        <v>0</v>
      </c>
      <c r="D264" s="34">
        <f t="shared" si="148"/>
        <v>0</v>
      </c>
      <c r="E264" s="34">
        <f t="shared" si="148"/>
        <v>0</v>
      </c>
      <c r="F264" s="34">
        <f t="shared" si="148"/>
        <v>0</v>
      </c>
      <c r="G264" s="34">
        <f t="shared" si="148"/>
        <v>0</v>
      </c>
      <c r="H264" s="34">
        <f t="shared" si="148"/>
        <v>0</v>
      </c>
      <c r="I264" s="34">
        <f t="shared" si="148"/>
        <v>0</v>
      </c>
      <c r="J264" s="34">
        <f t="shared" si="148"/>
        <v>0</v>
      </c>
      <c r="K264" s="34">
        <f t="shared" si="148"/>
        <v>0</v>
      </c>
      <c r="L264" s="34">
        <f t="shared" si="148"/>
        <v>8200</v>
      </c>
      <c r="M264" s="34">
        <f t="shared" si="148"/>
        <v>0</v>
      </c>
      <c r="N264" s="34">
        <f t="shared" si="148"/>
        <v>0</v>
      </c>
      <c r="O264" s="34"/>
      <c r="P264" s="34"/>
      <c r="S264" s="143" t="s">
        <v>73</v>
      </c>
      <c r="T264" s="21">
        <f>P207+P209+P210+P211</f>
        <v>94531.428571428565</v>
      </c>
      <c r="V264" s="148"/>
      <c r="W264" s="148"/>
      <c r="X264" s="148"/>
      <c r="Y264" s="148"/>
      <c r="Z264" s="150" t="s">
        <v>17</v>
      </c>
      <c r="AA264" s="151">
        <f>AA169+AA170</f>
        <v>-969288.40420952393</v>
      </c>
      <c r="AB264" s="152"/>
    </row>
    <row r="265" spans="2:31" x14ac:dyDescent="0.25">
      <c r="B265" s="34" t="s">
        <v>127</v>
      </c>
      <c r="C265" s="34">
        <f t="shared" ref="C265:N265" si="149">C214</f>
        <v>9453.1428571428551</v>
      </c>
      <c r="D265" s="34">
        <f t="shared" si="149"/>
        <v>9453.1428571428551</v>
      </c>
      <c r="E265" s="34">
        <f t="shared" si="149"/>
        <v>9453.1428571428551</v>
      </c>
      <c r="F265" s="34">
        <f t="shared" si="149"/>
        <v>9453.1428571428551</v>
      </c>
      <c r="G265" s="34">
        <f t="shared" si="149"/>
        <v>9453.1428571428551</v>
      </c>
      <c r="H265" s="34">
        <f t="shared" si="149"/>
        <v>9453.1428571428551</v>
      </c>
      <c r="I265" s="34">
        <f t="shared" si="149"/>
        <v>9453.1428571428551</v>
      </c>
      <c r="J265" s="34">
        <f t="shared" si="149"/>
        <v>9453.1428571428551</v>
      </c>
      <c r="K265" s="34">
        <f t="shared" si="149"/>
        <v>9453.1428571428551</v>
      </c>
      <c r="L265" s="34">
        <f t="shared" si="149"/>
        <v>9453.1428571428551</v>
      </c>
      <c r="M265" s="34">
        <f t="shared" si="149"/>
        <v>9453.1428571428551</v>
      </c>
      <c r="N265" s="34">
        <f t="shared" si="149"/>
        <v>9453.1428571428551</v>
      </c>
      <c r="O265" s="34"/>
      <c r="P265" s="34"/>
      <c r="S265" s="143" t="s">
        <v>18</v>
      </c>
      <c r="T265" s="21">
        <f>P226</f>
        <v>8200</v>
      </c>
      <c r="V265" s="150"/>
      <c r="W265" s="150"/>
      <c r="X265" s="150"/>
      <c r="Y265" s="150"/>
      <c r="Z265" s="150" t="s">
        <v>19</v>
      </c>
      <c r="AA265" s="151">
        <f>T277</f>
        <v>-496779.50191542855</v>
      </c>
      <c r="AB265" s="152"/>
    </row>
    <row r="266" spans="2:31" x14ac:dyDescent="0.25">
      <c r="B266" s="34" t="s">
        <v>128</v>
      </c>
      <c r="C266" s="34">
        <f t="shared" ref="C266:N266" si="150">C230</f>
        <v>0</v>
      </c>
      <c r="D266" s="34">
        <f t="shared" si="150"/>
        <v>0</v>
      </c>
      <c r="E266" s="34">
        <f t="shared" si="150"/>
        <v>0</v>
      </c>
      <c r="F266" s="34">
        <f t="shared" si="150"/>
        <v>0</v>
      </c>
      <c r="G266" s="34">
        <f t="shared" si="150"/>
        <v>0</v>
      </c>
      <c r="H266" s="34">
        <f t="shared" si="150"/>
        <v>0</v>
      </c>
      <c r="I266" s="34">
        <f t="shared" si="150"/>
        <v>0</v>
      </c>
      <c r="J266" s="34">
        <f t="shared" si="150"/>
        <v>0</v>
      </c>
      <c r="K266" s="34">
        <f t="shared" si="150"/>
        <v>0</v>
      </c>
      <c r="L266" s="34">
        <f t="shared" si="150"/>
        <v>0</v>
      </c>
      <c r="M266" s="34">
        <f t="shared" si="150"/>
        <v>0</v>
      </c>
      <c r="N266" s="34">
        <f t="shared" si="150"/>
        <v>0</v>
      </c>
      <c r="O266" s="34"/>
      <c r="P266" s="34"/>
      <c r="S266" s="143" t="s">
        <v>20</v>
      </c>
      <c r="T266" s="21">
        <f>P218</f>
        <v>307500</v>
      </c>
      <c r="V266" s="152"/>
      <c r="W266" s="153"/>
      <c r="Y266" s="153"/>
      <c r="Z266" s="151"/>
      <c r="AA266" s="149"/>
      <c r="AB266" s="162"/>
      <c r="AC266" s="118"/>
      <c r="AD266" s="118"/>
      <c r="AE266" s="118"/>
    </row>
    <row r="267" spans="2:31" x14ac:dyDescent="0.25">
      <c r="B267" s="34" t="s">
        <v>129</v>
      </c>
      <c r="C267" s="34">
        <f t="shared" ref="C267:N267" si="151">C238</f>
        <v>0</v>
      </c>
      <c r="D267" s="34">
        <f t="shared" si="151"/>
        <v>0</v>
      </c>
      <c r="E267" s="34">
        <f t="shared" si="151"/>
        <v>0</v>
      </c>
      <c r="F267" s="34">
        <f t="shared" si="151"/>
        <v>0</v>
      </c>
      <c r="G267" s="34">
        <f t="shared" si="151"/>
        <v>0</v>
      </c>
      <c r="H267" s="34">
        <f t="shared" si="151"/>
        <v>0</v>
      </c>
      <c r="I267" s="34">
        <f t="shared" si="151"/>
        <v>0</v>
      </c>
      <c r="J267" s="34">
        <f t="shared" si="151"/>
        <v>0</v>
      </c>
      <c r="K267" s="34">
        <f t="shared" si="151"/>
        <v>0</v>
      </c>
      <c r="L267" s="34">
        <f t="shared" si="151"/>
        <v>0</v>
      </c>
      <c r="M267" s="34">
        <f t="shared" si="151"/>
        <v>0</v>
      </c>
      <c r="N267" s="34">
        <f t="shared" si="151"/>
        <v>0</v>
      </c>
      <c r="O267" s="34"/>
      <c r="P267" s="34"/>
      <c r="S267" s="143" t="s">
        <v>21</v>
      </c>
      <c r="T267" s="21">
        <f>P219</f>
        <v>123000</v>
      </c>
      <c r="V267" s="148" t="s">
        <v>22</v>
      </c>
      <c r="W267" s="148">
        <f>SUM(W268:W270)</f>
        <v>-1464763.9461568769</v>
      </c>
      <c r="X267" s="148">
        <f>SUM(X268:X270)</f>
        <v>0</v>
      </c>
      <c r="Y267" s="148">
        <f>SUM(Y268:Y270)</f>
        <v>-1464763.9461568769</v>
      </c>
      <c r="Z267" s="148" t="s">
        <v>23</v>
      </c>
      <c r="AA267" s="149">
        <f>SUM(AA268:AA271)</f>
        <v>49681.959968076189</v>
      </c>
      <c r="AB267" s="152"/>
    </row>
    <row r="268" spans="2:31" ht="30" x14ac:dyDescent="0.25">
      <c r="B268" s="34" t="s">
        <v>130</v>
      </c>
      <c r="C268" s="34">
        <f t="shared" ref="C268:N268" si="152">C251</f>
        <v>-778.49031619047605</v>
      </c>
      <c r="D268" s="34">
        <f t="shared" si="152"/>
        <v>-840.04003192380969</v>
      </c>
      <c r="E268" s="34">
        <f t="shared" si="152"/>
        <v>-840.04003192380969</v>
      </c>
      <c r="F268" s="34">
        <f t="shared" si="152"/>
        <v>-840.04003192380969</v>
      </c>
      <c r="G268" s="34">
        <f t="shared" si="152"/>
        <v>-840.04003192380969</v>
      </c>
      <c r="H268" s="34">
        <f t="shared" si="152"/>
        <v>-840.04003192380969</v>
      </c>
      <c r="I268" s="34">
        <f t="shared" si="152"/>
        <v>-840.04003192380969</v>
      </c>
      <c r="J268" s="34">
        <f t="shared" si="152"/>
        <v>-840.04003192380969</v>
      </c>
      <c r="K268" s="34">
        <f t="shared" si="152"/>
        <v>-840.04003192380969</v>
      </c>
      <c r="L268" s="34">
        <f t="shared" si="152"/>
        <v>-840.04003192380969</v>
      </c>
      <c r="M268" s="34">
        <f t="shared" si="152"/>
        <v>-840.04003192380969</v>
      </c>
      <c r="N268" s="34">
        <f t="shared" si="152"/>
        <v>-840.04003192380969</v>
      </c>
      <c r="O268" s="34"/>
      <c r="P268" s="34"/>
      <c r="S268" s="143" t="s">
        <v>75</v>
      </c>
      <c r="T268" s="21">
        <f>P216</f>
        <v>7500</v>
      </c>
      <c r="V268" s="150" t="s">
        <v>25</v>
      </c>
      <c r="W268" s="150">
        <v>15000</v>
      </c>
      <c r="X268" s="150"/>
      <c r="Y268" s="150">
        <f>W268-X268</f>
        <v>15000</v>
      </c>
      <c r="Z268" s="150" t="s">
        <v>26</v>
      </c>
      <c r="AA268" s="151">
        <f>0</f>
        <v>0</v>
      </c>
      <c r="AB268" s="152"/>
    </row>
    <row r="269" spans="2:31" x14ac:dyDescent="0.25">
      <c r="B269" s="59" t="s">
        <v>131</v>
      </c>
      <c r="C269" s="59">
        <f>SUM(C260:C268)</f>
        <v>46822.966035352387</v>
      </c>
      <c r="D269" s="59">
        <f t="shared" ref="D269:N269" si="153">SUM(D260:D268)</f>
        <v>46761.416319619049</v>
      </c>
      <c r="E269" s="59">
        <f t="shared" si="153"/>
        <v>46761.416319619049</v>
      </c>
      <c r="F269" s="59">
        <f t="shared" si="153"/>
        <v>46761.416319619049</v>
      </c>
      <c r="G269" s="59">
        <f t="shared" si="153"/>
        <v>46761.416319619049</v>
      </c>
      <c r="H269" s="59">
        <f t="shared" si="153"/>
        <v>46761.416319619049</v>
      </c>
      <c r="I269" s="59">
        <f t="shared" si="153"/>
        <v>46761.416319619049</v>
      </c>
      <c r="J269" s="59">
        <f t="shared" si="153"/>
        <v>46761.416319619049</v>
      </c>
      <c r="K269" s="59">
        <f t="shared" si="153"/>
        <v>46761.416319619049</v>
      </c>
      <c r="L269" s="59">
        <f t="shared" si="153"/>
        <v>54961.416319619049</v>
      </c>
      <c r="M269" s="59">
        <f t="shared" si="153"/>
        <v>46761.416319619049</v>
      </c>
      <c r="N269" s="59">
        <f t="shared" si="153"/>
        <v>46761.416319619049</v>
      </c>
      <c r="O269" s="34"/>
      <c r="P269" s="34"/>
      <c r="S269" s="144" t="s">
        <v>76</v>
      </c>
      <c r="T269" s="131">
        <f>SUM(T263:T268)</f>
        <v>563464.56351542857</v>
      </c>
      <c r="V269" s="150" t="s">
        <v>28</v>
      </c>
      <c r="W269" s="150">
        <f>P192</f>
        <v>3343.1080799999995</v>
      </c>
      <c r="X269" s="150"/>
      <c r="Y269" s="150">
        <f>W269-X269</f>
        <v>3343.1080799999995</v>
      </c>
      <c r="Z269" s="150" t="s">
        <v>29</v>
      </c>
      <c r="AA269" s="151">
        <v>0</v>
      </c>
      <c r="AB269" s="162"/>
      <c r="AC269" s="118"/>
      <c r="AD269" s="118"/>
      <c r="AE269" s="118"/>
    </row>
    <row r="270" spans="2:31" x14ac:dyDescent="0.25">
      <c r="B270" s="59" t="s">
        <v>132</v>
      </c>
      <c r="C270" s="59">
        <f>W175</f>
        <v>-993668.63052571437</v>
      </c>
      <c r="D270" s="59">
        <f t="shared" ref="D270:N270" si="154">C272</f>
        <v>-1033902.7524810667</v>
      </c>
      <c r="E270" s="59">
        <f t="shared" si="154"/>
        <v>-1073977.9526406857</v>
      </c>
      <c r="F270" s="59">
        <f t="shared" si="154"/>
        <v>-1114053.1528003048</v>
      </c>
      <c r="G270" s="59">
        <f t="shared" si="154"/>
        <v>-1154128.3529599239</v>
      </c>
      <c r="H270" s="59">
        <f t="shared" si="154"/>
        <v>-1194203.553119543</v>
      </c>
      <c r="I270" s="59">
        <f t="shared" si="154"/>
        <v>-1234278.7532791621</v>
      </c>
      <c r="J270" s="59">
        <f t="shared" si="154"/>
        <v>-1274353.9534387812</v>
      </c>
      <c r="K270" s="59">
        <f t="shared" si="154"/>
        <v>-1314429.1535984003</v>
      </c>
      <c r="L270" s="59">
        <f t="shared" si="154"/>
        <v>-1354504.3537580194</v>
      </c>
      <c r="M270" s="59">
        <f t="shared" si="154"/>
        <v>-1402779.5539176385</v>
      </c>
      <c r="N270" s="59">
        <f t="shared" si="154"/>
        <v>-1442854.7540772576</v>
      </c>
      <c r="O270" s="34"/>
      <c r="P270" s="34"/>
      <c r="S270" s="154" t="s">
        <v>30</v>
      </c>
      <c r="T270" s="155">
        <f>T262-T269</f>
        <v>-496602.40191542858</v>
      </c>
      <c r="V270" s="150" t="s">
        <v>34</v>
      </c>
      <c r="W270" s="150">
        <f>AE255</f>
        <v>-1483107.0542368768</v>
      </c>
      <c r="X270" s="150"/>
      <c r="Y270" s="150">
        <f>W270-X270</f>
        <v>-1483107.0542368768</v>
      </c>
      <c r="Z270" s="150" t="s">
        <v>32</v>
      </c>
      <c r="AA270" s="151">
        <f>P251+P220</f>
        <v>9409.9599680761894</v>
      </c>
      <c r="AB270" s="152"/>
    </row>
    <row r="271" spans="2:31" x14ac:dyDescent="0.25">
      <c r="B271" s="34" t="s">
        <v>133</v>
      </c>
      <c r="C271" s="34">
        <f>C259-C269</f>
        <v>-40234.121955352384</v>
      </c>
      <c r="D271" s="34">
        <f t="shared" ref="D271:N271" si="155">D259-D269</f>
        <v>-40075.200159619053</v>
      </c>
      <c r="E271" s="34">
        <f t="shared" si="155"/>
        <v>-40075.200159619053</v>
      </c>
      <c r="F271" s="34">
        <f t="shared" si="155"/>
        <v>-40075.200159619053</v>
      </c>
      <c r="G271" s="34">
        <f t="shared" si="155"/>
        <v>-40075.200159619053</v>
      </c>
      <c r="H271" s="34">
        <f t="shared" si="155"/>
        <v>-40075.200159619053</v>
      </c>
      <c r="I271" s="34">
        <f t="shared" si="155"/>
        <v>-40075.200159619053</v>
      </c>
      <c r="J271" s="34">
        <f t="shared" si="155"/>
        <v>-40075.200159619053</v>
      </c>
      <c r="K271" s="34">
        <f t="shared" si="155"/>
        <v>-40075.200159619053</v>
      </c>
      <c r="L271" s="34">
        <f t="shared" si="155"/>
        <v>-48275.200159619053</v>
      </c>
      <c r="M271" s="34">
        <f t="shared" si="155"/>
        <v>-40075.200159619053</v>
      </c>
      <c r="N271" s="34">
        <f t="shared" si="155"/>
        <v>-40075.200159619053</v>
      </c>
      <c r="O271" s="34"/>
      <c r="P271" s="34"/>
      <c r="S271" s="144" t="s">
        <v>33</v>
      </c>
      <c r="T271" s="131">
        <v>0</v>
      </c>
      <c r="V271" s="150"/>
      <c r="W271" s="150"/>
      <c r="X271" s="150"/>
      <c r="Y271" s="150"/>
      <c r="Z271" s="150" t="s">
        <v>221</v>
      </c>
      <c r="AA271" s="151">
        <f>SUM(T248:AE248)+AA176</f>
        <v>40272</v>
      </c>
      <c r="AB271" s="152"/>
    </row>
    <row r="272" spans="2:31" x14ac:dyDescent="0.25">
      <c r="B272" s="59" t="s">
        <v>134</v>
      </c>
      <c r="C272" s="59">
        <f t="shared" ref="C272:N272" si="156">C270+C271</f>
        <v>-1033902.7524810667</v>
      </c>
      <c r="D272" s="59">
        <f t="shared" si="156"/>
        <v>-1073977.9526406857</v>
      </c>
      <c r="E272" s="59">
        <f t="shared" si="156"/>
        <v>-1114053.1528003048</v>
      </c>
      <c r="F272" s="59">
        <f t="shared" si="156"/>
        <v>-1154128.3529599239</v>
      </c>
      <c r="G272" s="59">
        <f t="shared" si="156"/>
        <v>-1194203.553119543</v>
      </c>
      <c r="H272" s="59">
        <f t="shared" si="156"/>
        <v>-1234278.7532791621</v>
      </c>
      <c r="I272" s="59">
        <f t="shared" si="156"/>
        <v>-1274353.9534387812</v>
      </c>
      <c r="J272" s="59">
        <f t="shared" si="156"/>
        <v>-1314429.1535984003</v>
      </c>
      <c r="K272" s="59">
        <f t="shared" si="156"/>
        <v>-1354504.3537580194</v>
      </c>
      <c r="L272" s="59">
        <f t="shared" si="156"/>
        <v>-1402779.5539176385</v>
      </c>
      <c r="M272" s="59">
        <f t="shared" si="156"/>
        <v>-1442854.7540772576</v>
      </c>
      <c r="N272" s="59">
        <f t="shared" si="156"/>
        <v>-1482929.9542368767</v>
      </c>
      <c r="O272" s="60" t="s">
        <v>135</v>
      </c>
      <c r="P272" s="61">
        <f>N272</f>
        <v>-1482929.9542368767</v>
      </c>
      <c r="S272" s="143" t="s">
        <v>36</v>
      </c>
      <c r="T272" s="21">
        <f>SUM(T251:AE251)</f>
        <v>177.10000000000002</v>
      </c>
      <c r="V272" s="156" t="s">
        <v>38</v>
      </c>
      <c r="W272" s="156">
        <f>W261+W267</f>
        <v>-1250763.9461568769</v>
      </c>
      <c r="X272" s="156">
        <f>X261</f>
        <v>61600</v>
      </c>
      <c r="Y272" s="156">
        <f>W272-X272</f>
        <v>-1312363.9461568769</v>
      </c>
      <c r="Z272" s="156" t="s">
        <v>39</v>
      </c>
      <c r="AA272" s="157">
        <f>AA261+AA267</f>
        <v>-1331385.9461568764</v>
      </c>
      <c r="AB272" s="152"/>
    </row>
    <row r="273" spans="19:27" x14ac:dyDescent="0.25">
      <c r="S273" s="144" t="s">
        <v>37</v>
      </c>
      <c r="T273" s="131">
        <f>T272</f>
        <v>177.10000000000002</v>
      </c>
      <c r="Z273" s="158" t="s">
        <v>42</v>
      </c>
      <c r="AA273" s="159">
        <f>Y272-AA272</f>
        <v>19021.999999999534</v>
      </c>
    </row>
    <row r="274" spans="19:27" x14ac:dyDescent="0.25">
      <c r="S274" s="154" t="s">
        <v>40</v>
      </c>
      <c r="T274" s="155">
        <f>T271-T273</f>
        <v>-177.10000000000002</v>
      </c>
    </row>
    <row r="275" spans="19:27" x14ac:dyDescent="0.25">
      <c r="S275" s="154" t="s">
        <v>43</v>
      </c>
      <c r="T275" s="155">
        <f>T270-(-T274)</f>
        <v>-496779.50191542855</v>
      </c>
    </row>
    <row r="276" spans="19:27" x14ac:dyDescent="0.25">
      <c r="S276" s="154" t="s">
        <v>45</v>
      </c>
      <c r="T276" s="21"/>
    </row>
    <row r="277" spans="19:27" x14ac:dyDescent="0.25">
      <c r="S277" s="160" t="s">
        <v>47</v>
      </c>
      <c r="T277" s="161">
        <f>T275</f>
        <v>-496779.50191542855</v>
      </c>
    </row>
  </sheetData>
  <mergeCells count="371">
    <mergeCell ref="J3:J4"/>
    <mergeCell ref="K3:K4"/>
    <mergeCell ref="L3:L4"/>
    <mergeCell ref="M3:M4"/>
    <mergeCell ref="N3:N4"/>
    <mergeCell ref="O3:P3"/>
    <mergeCell ref="B1:P1"/>
    <mergeCell ref="B2:P2"/>
    <mergeCell ref="B3:B4"/>
    <mergeCell ref="C3:C4"/>
    <mergeCell ref="D3:D4"/>
    <mergeCell ref="E3:E4"/>
    <mergeCell ref="F3:F4"/>
    <mergeCell ref="G3:G4"/>
    <mergeCell ref="H3:H4"/>
    <mergeCell ref="I3:I4"/>
    <mergeCell ref="B11:P11"/>
    <mergeCell ref="B12:B13"/>
    <mergeCell ref="C12:C13"/>
    <mergeCell ref="D12:D13"/>
    <mergeCell ref="E12:E13"/>
    <mergeCell ref="F12:F13"/>
    <mergeCell ref="G12:G13"/>
    <mergeCell ref="H12:H13"/>
    <mergeCell ref="I12:I13"/>
    <mergeCell ref="J12:J13"/>
    <mergeCell ref="K12:K13"/>
    <mergeCell ref="L12:L13"/>
    <mergeCell ref="M12:M13"/>
    <mergeCell ref="N12:N13"/>
    <mergeCell ref="O12:P12"/>
    <mergeCell ref="B20:P20"/>
    <mergeCell ref="I39:I40"/>
    <mergeCell ref="J39:J40"/>
    <mergeCell ref="K39:K40"/>
    <mergeCell ref="L39:L40"/>
    <mergeCell ref="M39:M40"/>
    <mergeCell ref="N39:N40"/>
    <mergeCell ref="N21:N22"/>
    <mergeCell ref="O21:P21"/>
    <mergeCell ref="B38:P38"/>
    <mergeCell ref="B39:B40"/>
    <mergeCell ref="C39:C40"/>
    <mergeCell ref="D39:D40"/>
    <mergeCell ref="E39:E40"/>
    <mergeCell ref="G39:G40"/>
    <mergeCell ref="H39:H40"/>
    <mergeCell ref="H21:H22"/>
    <mergeCell ref="I21:I22"/>
    <mergeCell ref="J21:J22"/>
    <mergeCell ref="K21:K22"/>
    <mergeCell ref="L21:L22"/>
    <mergeCell ref="M21:M22"/>
    <mergeCell ref="D21:D22"/>
    <mergeCell ref="E21:E22"/>
    <mergeCell ref="F21:F22"/>
    <mergeCell ref="G21:G22"/>
    <mergeCell ref="B21:B22"/>
    <mergeCell ref="C21:C22"/>
    <mergeCell ref="AD48:AD49"/>
    <mergeCell ref="AE48:AE49"/>
    <mergeCell ref="B49:P49"/>
    <mergeCell ref="B50:B51"/>
    <mergeCell ref="C50:C51"/>
    <mergeCell ref="D50:D51"/>
    <mergeCell ref="E50:E51"/>
    <mergeCell ref="F50:F51"/>
    <mergeCell ref="G50:G51"/>
    <mergeCell ref="H50:H51"/>
    <mergeCell ref="X48:X49"/>
    <mergeCell ref="Y48:Y49"/>
    <mergeCell ref="Z48:Z49"/>
    <mergeCell ref="AA48:AA49"/>
    <mergeCell ref="AB48:AB49"/>
    <mergeCell ref="AC48:AC49"/>
    <mergeCell ref="S48:S49"/>
    <mergeCell ref="T48:T49"/>
    <mergeCell ref="U48:U49"/>
    <mergeCell ref="V48:V49"/>
    <mergeCell ref="W48:W49"/>
    <mergeCell ref="F39:F40"/>
    <mergeCell ref="J59:J60"/>
    <mergeCell ref="K59:K60"/>
    <mergeCell ref="L59:L60"/>
    <mergeCell ref="M59:M60"/>
    <mergeCell ref="N59:N60"/>
    <mergeCell ref="O59:P59"/>
    <mergeCell ref="O50:P50"/>
    <mergeCell ref="B58:P58"/>
    <mergeCell ref="B59:B60"/>
    <mergeCell ref="C59:C60"/>
    <mergeCell ref="D59:D60"/>
    <mergeCell ref="E59:E60"/>
    <mergeCell ref="F59:F60"/>
    <mergeCell ref="G59:G60"/>
    <mergeCell ref="H59:H60"/>
    <mergeCell ref="I59:I60"/>
    <mergeCell ref="I50:I51"/>
    <mergeCell ref="J50:J51"/>
    <mergeCell ref="K50:K51"/>
    <mergeCell ref="L50:L51"/>
    <mergeCell ref="M50:M51"/>
    <mergeCell ref="N50:N51"/>
    <mergeCell ref="O39:P39"/>
    <mergeCell ref="B70:P70"/>
    <mergeCell ref="B71:B72"/>
    <mergeCell ref="C71:C72"/>
    <mergeCell ref="D71:D72"/>
    <mergeCell ref="E71:E72"/>
    <mergeCell ref="F71:F72"/>
    <mergeCell ref="G71:G72"/>
    <mergeCell ref="H71:H72"/>
    <mergeCell ref="I71:I72"/>
    <mergeCell ref="J71:J72"/>
    <mergeCell ref="V71:AA71"/>
    <mergeCell ref="B92:P92"/>
    <mergeCell ref="B95:P95"/>
    <mergeCell ref="B96:B97"/>
    <mergeCell ref="C96:C97"/>
    <mergeCell ref="D96:D97"/>
    <mergeCell ref="E96:E97"/>
    <mergeCell ref="F96:F97"/>
    <mergeCell ref="G96:G97"/>
    <mergeCell ref="H96:H97"/>
    <mergeCell ref="K71:K72"/>
    <mergeCell ref="L71:L72"/>
    <mergeCell ref="M71:M72"/>
    <mergeCell ref="N71:N72"/>
    <mergeCell ref="O71:P71"/>
    <mergeCell ref="S71:T71"/>
    <mergeCell ref="J105:J106"/>
    <mergeCell ref="K105:K106"/>
    <mergeCell ref="L105:L106"/>
    <mergeCell ref="M105:M106"/>
    <mergeCell ref="N105:N106"/>
    <mergeCell ref="O105:P105"/>
    <mergeCell ref="O96:P96"/>
    <mergeCell ref="B104:P104"/>
    <mergeCell ref="B105:B106"/>
    <mergeCell ref="C105:C106"/>
    <mergeCell ref="D105:D106"/>
    <mergeCell ref="E105:E106"/>
    <mergeCell ref="F105:F106"/>
    <mergeCell ref="G105:G106"/>
    <mergeCell ref="H105:H106"/>
    <mergeCell ref="I105:I106"/>
    <mergeCell ref="I96:I97"/>
    <mergeCell ref="J96:J97"/>
    <mergeCell ref="K96:K97"/>
    <mergeCell ref="L96:L97"/>
    <mergeCell ref="M96:M97"/>
    <mergeCell ref="N96:N97"/>
    <mergeCell ref="K114:K115"/>
    <mergeCell ref="L114:L115"/>
    <mergeCell ref="M114:M115"/>
    <mergeCell ref="N114:N115"/>
    <mergeCell ref="O114:P114"/>
    <mergeCell ref="B131:P131"/>
    <mergeCell ref="B113:P113"/>
    <mergeCell ref="B114:B115"/>
    <mergeCell ref="C114:C115"/>
    <mergeCell ref="D114:D115"/>
    <mergeCell ref="E114:E115"/>
    <mergeCell ref="F114:F115"/>
    <mergeCell ref="G114:G115"/>
    <mergeCell ref="H114:H115"/>
    <mergeCell ref="I114:I115"/>
    <mergeCell ref="J114:J115"/>
    <mergeCell ref="N132:N133"/>
    <mergeCell ref="O132:P132"/>
    <mergeCell ref="B141:P141"/>
    <mergeCell ref="B142:B143"/>
    <mergeCell ref="C142:C143"/>
    <mergeCell ref="D142:D143"/>
    <mergeCell ref="E142:E143"/>
    <mergeCell ref="F142:F143"/>
    <mergeCell ref="G142:G143"/>
    <mergeCell ref="H142:H143"/>
    <mergeCell ref="H132:H133"/>
    <mergeCell ref="I132:I133"/>
    <mergeCell ref="J132:J133"/>
    <mergeCell ref="K132:K133"/>
    <mergeCell ref="L132:L133"/>
    <mergeCell ref="M132:M133"/>
    <mergeCell ref="B132:B133"/>
    <mergeCell ref="C132:C133"/>
    <mergeCell ref="D132:D133"/>
    <mergeCell ref="E132:E133"/>
    <mergeCell ref="F132:F133"/>
    <mergeCell ref="G132:G133"/>
    <mergeCell ref="O142:P142"/>
    <mergeCell ref="T148:T149"/>
    <mergeCell ref="U148:U149"/>
    <mergeCell ref="V148:V149"/>
    <mergeCell ref="W148:W149"/>
    <mergeCell ref="I142:I143"/>
    <mergeCell ref="J142:J143"/>
    <mergeCell ref="K142:K143"/>
    <mergeCell ref="L142:L143"/>
    <mergeCell ref="M142:M143"/>
    <mergeCell ref="N142:N143"/>
    <mergeCell ref="AD148:AD149"/>
    <mergeCell ref="AE148:AE149"/>
    <mergeCell ref="B150:P150"/>
    <mergeCell ref="B151:B152"/>
    <mergeCell ref="C151:C152"/>
    <mergeCell ref="D151:D152"/>
    <mergeCell ref="E151:E152"/>
    <mergeCell ref="F151:F152"/>
    <mergeCell ref="G151:G152"/>
    <mergeCell ref="H151:H152"/>
    <mergeCell ref="X148:X149"/>
    <mergeCell ref="Y148:Y149"/>
    <mergeCell ref="Z148:Z149"/>
    <mergeCell ref="AA148:AA149"/>
    <mergeCell ref="AB148:AB149"/>
    <mergeCell ref="AC148:AC149"/>
    <mergeCell ref="O151:P151"/>
    <mergeCell ref="I151:I152"/>
    <mergeCell ref="J151:J152"/>
    <mergeCell ref="K151:K152"/>
    <mergeCell ref="L151:L152"/>
    <mergeCell ref="M151:M152"/>
    <mergeCell ref="N151:N152"/>
    <mergeCell ref="S148:S149"/>
    <mergeCell ref="B162:P162"/>
    <mergeCell ref="S164:T164"/>
    <mergeCell ref="V164:AA164"/>
    <mergeCell ref="B163:B164"/>
    <mergeCell ref="C163:C164"/>
    <mergeCell ref="D163:D164"/>
    <mergeCell ref="E163:E164"/>
    <mergeCell ref="F163:F164"/>
    <mergeCell ref="G163:G164"/>
    <mergeCell ref="N163:N164"/>
    <mergeCell ref="O163:P163"/>
    <mergeCell ref="AB165:AB166"/>
    <mergeCell ref="AC165:AC166"/>
    <mergeCell ref="AD165:AD166"/>
    <mergeCell ref="AE165:AE166"/>
    <mergeCell ref="H163:H164"/>
    <mergeCell ref="I163:I164"/>
    <mergeCell ref="J163:J164"/>
    <mergeCell ref="K163:K164"/>
    <mergeCell ref="L163:L164"/>
    <mergeCell ref="M163:M164"/>
    <mergeCell ref="J187:J188"/>
    <mergeCell ref="K187:K188"/>
    <mergeCell ref="L187:L188"/>
    <mergeCell ref="M187:M188"/>
    <mergeCell ref="N187:N188"/>
    <mergeCell ref="O187:P187"/>
    <mergeCell ref="B183:P183"/>
    <mergeCell ref="B186:P186"/>
    <mergeCell ref="B187:B188"/>
    <mergeCell ref="C187:C188"/>
    <mergeCell ref="D187:D188"/>
    <mergeCell ref="E187:E188"/>
    <mergeCell ref="F187:F188"/>
    <mergeCell ref="G187:G188"/>
    <mergeCell ref="H187:H188"/>
    <mergeCell ref="I187:I188"/>
    <mergeCell ref="K196:K197"/>
    <mergeCell ref="L196:L197"/>
    <mergeCell ref="M196:M197"/>
    <mergeCell ref="N196:N197"/>
    <mergeCell ref="O196:P196"/>
    <mergeCell ref="B204:P204"/>
    <mergeCell ref="B195:P195"/>
    <mergeCell ref="B196:B197"/>
    <mergeCell ref="C196:C197"/>
    <mergeCell ref="D196:D197"/>
    <mergeCell ref="E196:E197"/>
    <mergeCell ref="F196:F197"/>
    <mergeCell ref="G196:G197"/>
    <mergeCell ref="H196:H197"/>
    <mergeCell ref="I196:I197"/>
    <mergeCell ref="J196:J197"/>
    <mergeCell ref="N205:N206"/>
    <mergeCell ref="O205:P205"/>
    <mergeCell ref="B223:P223"/>
    <mergeCell ref="B224:B225"/>
    <mergeCell ref="C224:C225"/>
    <mergeCell ref="D224:D225"/>
    <mergeCell ref="E224:E225"/>
    <mergeCell ref="F224:F225"/>
    <mergeCell ref="G224:G225"/>
    <mergeCell ref="H224:H225"/>
    <mergeCell ref="H205:H206"/>
    <mergeCell ref="I205:I206"/>
    <mergeCell ref="J205:J206"/>
    <mergeCell ref="K205:K206"/>
    <mergeCell ref="L205:L206"/>
    <mergeCell ref="M205:M206"/>
    <mergeCell ref="B205:B206"/>
    <mergeCell ref="C205:C206"/>
    <mergeCell ref="D205:D206"/>
    <mergeCell ref="E205:E206"/>
    <mergeCell ref="F205:F206"/>
    <mergeCell ref="G205:G206"/>
    <mergeCell ref="O224:P224"/>
    <mergeCell ref="I224:I225"/>
    <mergeCell ref="J224:J225"/>
    <mergeCell ref="K224:K225"/>
    <mergeCell ref="L224:L225"/>
    <mergeCell ref="M224:M225"/>
    <mergeCell ref="N224:N225"/>
    <mergeCell ref="U243:U244"/>
    <mergeCell ref="V243:V244"/>
    <mergeCell ref="W243:W244"/>
    <mergeCell ref="X243:X244"/>
    <mergeCell ref="J234:J235"/>
    <mergeCell ref="K234:K235"/>
    <mergeCell ref="L234:L235"/>
    <mergeCell ref="M234:M235"/>
    <mergeCell ref="N234:N235"/>
    <mergeCell ref="O234:P234"/>
    <mergeCell ref="B233:P233"/>
    <mergeCell ref="B234:B235"/>
    <mergeCell ref="C234:C235"/>
    <mergeCell ref="D234:D235"/>
    <mergeCell ref="E234:E235"/>
    <mergeCell ref="F234:F235"/>
    <mergeCell ref="G234:G235"/>
    <mergeCell ref="H234:H235"/>
    <mergeCell ref="I234:I235"/>
    <mergeCell ref="J243:J244"/>
    <mergeCell ref="K243:K244"/>
    <mergeCell ref="L243:L244"/>
    <mergeCell ref="M243:M244"/>
    <mergeCell ref="N243:N244"/>
    <mergeCell ref="O243:P243"/>
    <mergeCell ref="AE243:AE244"/>
    <mergeCell ref="B242:P242"/>
    <mergeCell ref="B243:B244"/>
    <mergeCell ref="C243:C244"/>
    <mergeCell ref="D243:D244"/>
    <mergeCell ref="E243:E244"/>
    <mergeCell ref="F243:F244"/>
    <mergeCell ref="G243:G244"/>
    <mergeCell ref="H243:H244"/>
    <mergeCell ref="I243:I244"/>
    <mergeCell ref="Y243:Y244"/>
    <mergeCell ref="Z243:Z244"/>
    <mergeCell ref="AA243:AA244"/>
    <mergeCell ref="AB243:AB244"/>
    <mergeCell ref="AC243:AC244"/>
    <mergeCell ref="AD243:AD244"/>
    <mergeCell ref="S243:S244"/>
    <mergeCell ref="T243:T244"/>
    <mergeCell ref="B254:P254"/>
    <mergeCell ref="S259:T259"/>
    <mergeCell ref="V259:AA259"/>
    <mergeCell ref="B255:B256"/>
    <mergeCell ref="C255:C256"/>
    <mergeCell ref="D255:D256"/>
    <mergeCell ref="E255:E256"/>
    <mergeCell ref="F255:F256"/>
    <mergeCell ref="G255:G256"/>
    <mergeCell ref="H255:H256"/>
    <mergeCell ref="O255:P255"/>
    <mergeCell ref="AB260:AB261"/>
    <mergeCell ref="AC260:AC261"/>
    <mergeCell ref="AD260:AD261"/>
    <mergeCell ref="AE260:AE261"/>
    <mergeCell ref="I255:I256"/>
    <mergeCell ref="J255:J256"/>
    <mergeCell ref="K255:K256"/>
    <mergeCell ref="L255:L256"/>
    <mergeCell ref="M255:M256"/>
    <mergeCell ref="N255:N256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96F518-F5F9-455D-AC81-06E049EA6033}">
  <sheetPr codeName="Feuil15">
    <tabColor theme="9" tint="0.79998168889431442"/>
  </sheetPr>
  <dimension ref="B1:AE268"/>
  <sheetViews>
    <sheetView showGridLines="0" topLeftCell="A129" zoomScale="39" zoomScaleNormal="25" workbookViewId="0">
      <selection activeCell="S202" sqref="S202"/>
    </sheetView>
  </sheetViews>
  <sheetFormatPr baseColWidth="10" defaultColWidth="10.7109375" defaultRowHeight="15" x14ac:dyDescent="0.25"/>
  <cols>
    <col min="1" max="1" width="10.7109375" style="20"/>
    <col min="2" max="2" width="34.85546875" style="20" customWidth="1"/>
    <col min="3" max="3" width="13.7109375" style="20" customWidth="1"/>
    <col min="4" max="4" width="13.42578125" style="20" customWidth="1"/>
    <col min="5" max="5" width="15.5703125" style="20" customWidth="1"/>
    <col min="6" max="6" width="13.85546875" style="20" customWidth="1"/>
    <col min="7" max="7" width="13.140625" style="20" customWidth="1"/>
    <col min="8" max="8" width="12.85546875" style="20" customWidth="1"/>
    <col min="9" max="9" width="17.28515625" style="20" customWidth="1"/>
    <col min="10" max="11" width="13.7109375" style="20" customWidth="1"/>
    <col min="12" max="12" width="15.85546875" style="20" customWidth="1"/>
    <col min="13" max="13" width="13.28515625" style="20" customWidth="1"/>
    <col min="14" max="14" width="14.85546875" style="20" customWidth="1"/>
    <col min="15" max="15" width="32.42578125" style="20" bestFit="1" customWidth="1"/>
    <col min="16" max="16" width="14.85546875" style="20" customWidth="1"/>
    <col min="17" max="18" width="9.140625" style="20" bestFit="1" customWidth="1"/>
    <col min="19" max="19" width="36.42578125" style="20" customWidth="1"/>
    <col min="20" max="20" width="15.7109375" style="20" customWidth="1"/>
    <col min="21" max="21" width="11.42578125" style="20" customWidth="1"/>
    <col min="22" max="22" width="36.85546875" style="20" customWidth="1"/>
    <col min="23" max="23" width="9.140625" style="20" customWidth="1"/>
    <col min="24" max="24" width="11.85546875" style="20" bestFit="1" customWidth="1"/>
    <col min="25" max="25" width="19.5703125" style="20" customWidth="1"/>
    <col min="26" max="26" width="40.28515625" style="20" bestFit="1" customWidth="1"/>
    <col min="27" max="27" width="18.85546875" style="20" customWidth="1"/>
    <col min="28" max="29" width="10.7109375" style="20"/>
    <col min="30" max="30" width="24.7109375" style="20" customWidth="1"/>
    <col min="31" max="31" width="15.5703125" style="20" customWidth="1"/>
    <col min="32" max="32" width="10.7109375" style="20"/>
    <col min="33" max="33" width="20.42578125" style="20" customWidth="1"/>
    <col min="34" max="36" width="10.7109375" style="20"/>
    <col min="37" max="37" width="18.85546875" style="20" customWidth="1"/>
    <col min="38" max="38" width="23.5703125" style="20" customWidth="1"/>
    <col min="39" max="16384" width="10.7109375" style="20"/>
  </cols>
  <sheetData>
    <row r="1" spans="2:16" ht="28.5" x14ac:dyDescent="0.45">
      <c r="B1" s="212" t="s">
        <v>48</v>
      </c>
      <c r="C1" s="212"/>
      <c r="D1" s="212"/>
      <c r="E1" s="212"/>
      <c r="F1" s="212"/>
      <c r="G1" s="212"/>
      <c r="H1" s="212"/>
      <c r="I1" s="212"/>
      <c r="J1" s="212"/>
      <c r="K1" s="212"/>
      <c r="L1" s="212"/>
      <c r="M1" s="212"/>
      <c r="N1" s="212"/>
      <c r="O1" s="212"/>
      <c r="P1" s="212"/>
    </row>
    <row r="2" spans="2:16" x14ac:dyDescent="0.25">
      <c r="B2" s="288" t="s">
        <v>49</v>
      </c>
      <c r="C2" s="288"/>
      <c r="D2" s="288"/>
      <c r="E2" s="288"/>
      <c r="F2" s="288"/>
      <c r="G2" s="288"/>
      <c r="H2" s="288"/>
      <c r="I2" s="288"/>
      <c r="J2" s="288"/>
      <c r="K2" s="288"/>
      <c r="L2" s="288"/>
      <c r="M2" s="288"/>
      <c r="N2" s="288"/>
      <c r="O2" s="288"/>
      <c r="P2" s="288"/>
    </row>
    <row r="3" spans="2:16" ht="14.25" customHeight="1" x14ac:dyDescent="0.25">
      <c r="B3" s="213"/>
      <c r="C3" s="215" t="s">
        <v>50</v>
      </c>
      <c r="D3" s="215" t="s">
        <v>51</v>
      </c>
      <c r="E3" s="215" t="s">
        <v>52</v>
      </c>
      <c r="F3" s="215" t="s">
        <v>53</v>
      </c>
      <c r="G3" s="215" t="s">
        <v>54</v>
      </c>
      <c r="H3" s="215" t="s">
        <v>55</v>
      </c>
      <c r="I3" s="215" t="s">
        <v>56</v>
      </c>
      <c r="J3" s="215" t="s">
        <v>57</v>
      </c>
      <c r="K3" s="215" t="s">
        <v>58</v>
      </c>
      <c r="L3" s="215" t="s">
        <v>59</v>
      </c>
      <c r="M3" s="215" t="s">
        <v>60</v>
      </c>
      <c r="N3" s="215" t="s">
        <v>61</v>
      </c>
      <c r="O3" s="220" t="s">
        <v>62</v>
      </c>
      <c r="P3" s="221"/>
    </row>
    <row r="4" spans="2:16" ht="14.25" customHeight="1" x14ac:dyDescent="0.25">
      <c r="B4" s="214"/>
      <c r="C4" s="216"/>
      <c r="D4" s="216"/>
      <c r="E4" s="216"/>
      <c r="F4" s="216"/>
      <c r="G4" s="216"/>
      <c r="H4" s="216"/>
      <c r="I4" s="216"/>
      <c r="J4" s="216"/>
      <c r="K4" s="216"/>
      <c r="L4" s="216"/>
      <c r="M4" s="216"/>
      <c r="N4" s="216"/>
      <c r="O4" s="58" t="s">
        <v>64</v>
      </c>
      <c r="P4" s="58" t="s">
        <v>65</v>
      </c>
    </row>
    <row r="5" spans="2:16" x14ac:dyDescent="0.25">
      <c r="B5" s="35" t="s">
        <v>66</v>
      </c>
      <c r="C5" s="35">
        <f>'Bilan et CDR N'!$C$5*1.02/12</f>
        <v>5304</v>
      </c>
      <c r="D5" s="35">
        <f>'Bilan et CDR N'!$C$5*1.02/12</f>
        <v>5304</v>
      </c>
      <c r="E5" s="35">
        <f>'Bilan et CDR N'!$C$5*1.02/12</f>
        <v>5304</v>
      </c>
      <c r="F5" s="35">
        <f>'Bilan et CDR N'!$C$5*1.02/12</f>
        <v>5304</v>
      </c>
      <c r="G5" s="35">
        <f>'Bilan et CDR N'!$C$5*1.02/12</f>
        <v>5304</v>
      </c>
      <c r="H5" s="35">
        <f>'Bilan et CDR N'!$C$5*1.02/12</f>
        <v>5304</v>
      </c>
      <c r="I5" s="35">
        <f>'Bilan et CDR N'!$C$5*1.02/12</f>
        <v>5304</v>
      </c>
      <c r="J5" s="35">
        <f>'Bilan et CDR N'!$C$5*1.02/12</f>
        <v>5304</v>
      </c>
      <c r="K5" s="35">
        <f>'Bilan et CDR N'!$C$5*1.02/12</f>
        <v>5304</v>
      </c>
      <c r="L5" s="35">
        <f>'Bilan et CDR N'!$C$5*1.02/12</f>
        <v>5304</v>
      </c>
      <c r="M5" s="35">
        <f>'Bilan et CDR N'!$C$5*1.02/12</f>
        <v>5304</v>
      </c>
      <c r="N5" s="35">
        <f>'Bilan et CDR N'!$C$5*1.02/12</f>
        <v>5304</v>
      </c>
      <c r="O5" s="60" t="s">
        <v>1</v>
      </c>
      <c r="P5" s="61">
        <f>SUM(C5:N5)</f>
        <v>63648</v>
      </c>
    </row>
    <row r="6" spans="2:16" ht="14.25" customHeight="1" x14ac:dyDescent="0.25">
      <c r="B6" s="34" t="s">
        <v>68</v>
      </c>
      <c r="C6" s="34">
        <f t="shared" ref="C6:N6" si="0">C5*20%</f>
        <v>1060.8</v>
      </c>
      <c r="D6" s="34">
        <f t="shared" si="0"/>
        <v>1060.8</v>
      </c>
      <c r="E6" s="34">
        <f t="shared" si="0"/>
        <v>1060.8</v>
      </c>
      <c r="F6" s="34">
        <f t="shared" si="0"/>
        <v>1060.8</v>
      </c>
      <c r="G6" s="34">
        <f t="shared" si="0"/>
        <v>1060.8</v>
      </c>
      <c r="H6" s="34">
        <f t="shared" si="0"/>
        <v>1060.8</v>
      </c>
      <c r="I6" s="34">
        <f t="shared" si="0"/>
        <v>1060.8</v>
      </c>
      <c r="J6" s="34">
        <f t="shared" si="0"/>
        <v>1060.8</v>
      </c>
      <c r="K6" s="34">
        <f t="shared" si="0"/>
        <v>1060.8</v>
      </c>
      <c r="L6" s="34">
        <f t="shared" si="0"/>
        <v>1060.8</v>
      </c>
      <c r="M6" s="34">
        <f t="shared" si="0"/>
        <v>1060.8</v>
      </c>
      <c r="N6" s="34">
        <f t="shared" si="0"/>
        <v>1060.8</v>
      </c>
      <c r="O6" s="34"/>
      <c r="P6" s="34"/>
    </row>
    <row r="7" spans="2:16" ht="14.25" customHeight="1" x14ac:dyDescent="0.25">
      <c r="B7" s="34" t="s">
        <v>69</v>
      </c>
      <c r="C7" s="34">
        <f t="shared" ref="C7:N7" si="1">C5+C6</f>
        <v>6364.8</v>
      </c>
      <c r="D7" s="34">
        <f t="shared" si="1"/>
        <v>6364.8</v>
      </c>
      <c r="E7" s="34">
        <f t="shared" si="1"/>
        <v>6364.8</v>
      </c>
      <c r="F7" s="34">
        <f t="shared" si="1"/>
        <v>6364.8</v>
      </c>
      <c r="G7" s="34">
        <f t="shared" si="1"/>
        <v>6364.8</v>
      </c>
      <c r="H7" s="34">
        <f t="shared" si="1"/>
        <v>6364.8</v>
      </c>
      <c r="I7" s="34">
        <f t="shared" si="1"/>
        <v>6364.8</v>
      </c>
      <c r="J7" s="34">
        <f t="shared" si="1"/>
        <v>6364.8</v>
      </c>
      <c r="K7" s="34">
        <f t="shared" si="1"/>
        <v>6364.8</v>
      </c>
      <c r="L7" s="34">
        <f t="shared" si="1"/>
        <v>6364.8</v>
      </c>
      <c r="M7" s="34">
        <f t="shared" si="1"/>
        <v>6364.8</v>
      </c>
      <c r="N7" s="34">
        <f t="shared" si="1"/>
        <v>6364.8</v>
      </c>
      <c r="O7" s="34"/>
      <c r="P7" s="34"/>
    </row>
    <row r="8" spans="2:16" x14ac:dyDescent="0.25">
      <c r="B8" s="81" t="s">
        <v>139</v>
      </c>
      <c r="C8" s="81">
        <f>'Bilan et CDR N'!I14</f>
        <v>78000</v>
      </c>
      <c r="D8" s="81">
        <f t="shared" ref="D8:N8" si="2">C7</f>
        <v>6364.8</v>
      </c>
      <c r="E8" s="81">
        <f t="shared" si="2"/>
        <v>6364.8</v>
      </c>
      <c r="F8" s="81">
        <f t="shared" si="2"/>
        <v>6364.8</v>
      </c>
      <c r="G8" s="81">
        <f t="shared" si="2"/>
        <v>6364.8</v>
      </c>
      <c r="H8" s="81">
        <f t="shared" si="2"/>
        <v>6364.8</v>
      </c>
      <c r="I8" s="81">
        <f t="shared" si="2"/>
        <v>6364.8</v>
      </c>
      <c r="J8" s="81">
        <f t="shared" si="2"/>
        <v>6364.8</v>
      </c>
      <c r="K8" s="81">
        <f t="shared" si="2"/>
        <v>6364.8</v>
      </c>
      <c r="L8" s="81">
        <f t="shared" si="2"/>
        <v>6364.8</v>
      </c>
      <c r="M8" s="81">
        <f t="shared" si="2"/>
        <v>6364.8</v>
      </c>
      <c r="N8" s="81">
        <f t="shared" si="2"/>
        <v>6364.8</v>
      </c>
      <c r="O8" s="82" t="s">
        <v>72</v>
      </c>
      <c r="P8" s="83">
        <f>N7</f>
        <v>6364.8</v>
      </c>
    </row>
    <row r="9" spans="2:16" x14ac:dyDescent="0.25">
      <c r="B9" s="34" t="s">
        <v>208</v>
      </c>
      <c r="C9" s="34"/>
      <c r="D9" s="34"/>
      <c r="E9" s="34">
        <v>30000</v>
      </c>
      <c r="F9" s="34"/>
      <c r="G9" s="34"/>
      <c r="H9" s="34"/>
      <c r="I9" s="34"/>
      <c r="J9" s="34"/>
      <c r="K9" s="34"/>
      <c r="L9" s="34"/>
      <c r="M9" s="34"/>
      <c r="N9" s="34"/>
      <c r="O9" s="61" t="s">
        <v>209</v>
      </c>
      <c r="P9" s="61">
        <v>30000</v>
      </c>
    </row>
    <row r="11" spans="2:16" ht="14.25" customHeight="1" x14ac:dyDescent="0.25">
      <c r="B11" s="288" t="s">
        <v>74</v>
      </c>
      <c r="C11" s="288"/>
      <c r="D11" s="288"/>
      <c r="E11" s="288"/>
      <c r="F11" s="288"/>
      <c r="G11" s="288"/>
      <c r="H11" s="288"/>
      <c r="I11" s="288"/>
      <c r="J11" s="288"/>
      <c r="K11" s="288"/>
      <c r="L11" s="288"/>
      <c r="M11" s="288"/>
      <c r="N11" s="288"/>
      <c r="O11" s="288"/>
      <c r="P11" s="288"/>
    </row>
    <row r="12" spans="2:16" x14ac:dyDescent="0.25">
      <c r="B12" s="213"/>
      <c r="C12" s="215" t="s">
        <v>50</v>
      </c>
      <c r="D12" s="215" t="s">
        <v>51</v>
      </c>
      <c r="E12" s="215" t="s">
        <v>52</v>
      </c>
      <c r="F12" s="215" t="s">
        <v>53</v>
      </c>
      <c r="G12" s="215" t="s">
        <v>54</v>
      </c>
      <c r="H12" s="215" t="s">
        <v>55</v>
      </c>
      <c r="I12" s="215" t="s">
        <v>56</v>
      </c>
      <c r="J12" s="215" t="s">
        <v>57</v>
      </c>
      <c r="K12" s="215" t="s">
        <v>58</v>
      </c>
      <c r="L12" s="215" t="s">
        <v>59</v>
      </c>
      <c r="M12" s="215" t="s">
        <v>60</v>
      </c>
      <c r="N12" s="215" t="s">
        <v>61</v>
      </c>
      <c r="O12" s="220" t="s">
        <v>62</v>
      </c>
      <c r="P12" s="221"/>
    </row>
    <row r="13" spans="2:16" ht="14.25" customHeight="1" x14ac:dyDescent="0.25">
      <c r="B13" s="214"/>
      <c r="C13" s="216"/>
      <c r="D13" s="216"/>
      <c r="E13" s="216"/>
      <c r="F13" s="216"/>
      <c r="G13" s="216"/>
      <c r="H13" s="216"/>
      <c r="I13" s="216"/>
      <c r="J13" s="216"/>
      <c r="K13" s="216"/>
      <c r="L13" s="216"/>
      <c r="M13" s="216"/>
      <c r="N13" s="216"/>
      <c r="O13" s="58" t="s">
        <v>64</v>
      </c>
      <c r="P13" s="58" t="s">
        <v>65</v>
      </c>
    </row>
    <row r="14" spans="2:16" x14ac:dyDescent="0.25">
      <c r="B14" s="35" t="s">
        <v>77</v>
      </c>
      <c r="C14" s="35">
        <f t="shared" ref="C14:N14" si="3">C5*30%</f>
        <v>1591.2</v>
      </c>
      <c r="D14" s="35">
        <f t="shared" si="3"/>
        <v>1591.2</v>
      </c>
      <c r="E14" s="35">
        <f t="shared" si="3"/>
        <v>1591.2</v>
      </c>
      <c r="F14" s="35">
        <f t="shared" si="3"/>
        <v>1591.2</v>
      </c>
      <c r="G14" s="35">
        <f t="shared" si="3"/>
        <v>1591.2</v>
      </c>
      <c r="H14" s="35">
        <f t="shared" si="3"/>
        <v>1591.2</v>
      </c>
      <c r="I14" s="35">
        <f t="shared" si="3"/>
        <v>1591.2</v>
      </c>
      <c r="J14" s="35">
        <f t="shared" si="3"/>
        <v>1591.2</v>
      </c>
      <c r="K14" s="35">
        <f t="shared" si="3"/>
        <v>1591.2</v>
      </c>
      <c r="L14" s="35">
        <f t="shared" si="3"/>
        <v>1591.2</v>
      </c>
      <c r="M14" s="35">
        <f t="shared" si="3"/>
        <v>1591.2</v>
      </c>
      <c r="N14" s="35">
        <f t="shared" si="3"/>
        <v>1591.2</v>
      </c>
      <c r="O14" s="60" t="s">
        <v>78</v>
      </c>
      <c r="P14" s="61">
        <f>SUM(C14:N14)</f>
        <v>19094.400000000005</v>
      </c>
    </row>
    <row r="15" spans="2:16" ht="14.25" customHeight="1" x14ac:dyDescent="0.25">
      <c r="B15" s="34" t="s">
        <v>79</v>
      </c>
      <c r="C15" s="34">
        <f t="shared" ref="C15:N15" si="4">C14*20%</f>
        <v>318.24</v>
      </c>
      <c r="D15" s="34">
        <f t="shared" si="4"/>
        <v>318.24</v>
      </c>
      <c r="E15" s="34">
        <f t="shared" si="4"/>
        <v>318.24</v>
      </c>
      <c r="F15" s="34">
        <f t="shared" si="4"/>
        <v>318.24</v>
      </c>
      <c r="G15" s="34">
        <f t="shared" si="4"/>
        <v>318.24</v>
      </c>
      <c r="H15" s="34">
        <f t="shared" si="4"/>
        <v>318.24</v>
      </c>
      <c r="I15" s="34">
        <f t="shared" si="4"/>
        <v>318.24</v>
      </c>
      <c r="J15" s="34">
        <f t="shared" si="4"/>
        <v>318.24</v>
      </c>
      <c r="K15" s="34">
        <f t="shared" si="4"/>
        <v>318.24</v>
      </c>
      <c r="L15" s="34">
        <f t="shared" si="4"/>
        <v>318.24</v>
      </c>
      <c r="M15" s="34">
        <f t="shared" si="4"/>
        <v>318.24</v>
      </c>
      <c r="N15" s="34">
        <f t="shared" si="4"/>
        <v>318.24</v>
      </c>
      <c r="O15" s="34"/>
      <c r="P15" s="34"/>
    </row>
    <row r="16" spans="2:16" x14ac:dyDescent="0.25">
      <c r="B16" s="34" t="s">
        <v>80</v>
      </c>
      <c r="C16" s="34">
        <f t="shared" ref="C16:N16" si="5">C14+C15</f>
        <v>1909.44</v>
      </c>
      <c r="D16" s="34">
        <f t="shared" si="5"/>
        <v>1909.44</v>
      </c>
      <c r="E16" s="34">
        <f t="shared" si="5"/>
        <v>1909.44</v>
      </c>
      <c r="F16" s="34">
        <f t="shared" si="5"/>
        <v>1909.44</v>
      </c>
      <c r="G16" s="34">
        <f t="shared" si="5"/>
        <v>1909.44</v>
      </c>
      <c r="H16" s="34">
        <f t="shared" si="5"/>
        <v>1909.44</v>
      </c>
      <c r="I16" s="34">
        <f t="shared" si="5"/>
        <v>1909.44</v>
      </c>
      <c r="J16" s="34">
        <f t="shared" si="5"/>
        <v>1909.44</v>
      </c>
      <c r="K16" s="34">
        <f t="shared" si="5"/>
        <v>1909.44</v>
      </c>
      <c r="L16" s="34">
        <f t="shared" si="5"/>
        <v>1909.44</v>
      </c>
      <c r="M16" s="34">
        <f t="shared" si="5"/>
        <v>1909.44</v>
      </c>
      <c r="N16" s="34">
        <f t="shared" si="5"/>
        <v>1909.44</v>
      </c>
      <c r="O16" s="34"/>
      <c r="P16" s="34"/>
    </row>
    <row r="17" spans="2:16" x14ac:dyDescent="0.25">
      <c r="B17" s="59" t="s">
        <v>81</v>
      </c>
      <c r="C17" s="59">
        <f>C16+'Bilan et CDR N'!K14</f>
        <v>25409.439999999999</v>
      </c>
      <c r="D17" s="59">
        <f t="shared" ref="D17:N17" si="6">D16</f>
        <v>1909.44</v>
      </c>
      <c r="E17" s="59">
        <f t="shared" si="6"/>
        <v>1909.44</v>
      </c>
      <c r="F17" s="59">
        <f t="shared" si="6"/>
        <v>1909.44</v>
      </c>
      <c r="G17" s="59">
        <f t="shared" si="6"/>
        <v>1909.44</v>
      </c>
      <c r="H17" s="59">
        <f t="shared" si="6"/>
        <v>1909.44</v>
      </c>
      <c r="I17" s="59">
        <f t="shared" si="6"/>
        <v>1909.44</v>
      </c>
      <c r="J17" s="59">
        <f t="shared" si="6"/>
        <v>1909.44</v>
      </c>
      <c r="K17" s="59">
        <f t="shared" si="6"/>
        <v>1909.44</v>
      </c>
      <c r="L17" s="59">
        <f t="shared" si="6"/>
        <v>1909.44</v>
      </c>
      <c r="M17" s="59">
        <f t="shared" si="6"/>
        <v>1909.44</v>
      </c>
      <c r="N17" s="59">
        <f t="shared" si="6"/>
        <v>1909.44</v>
      </c>
      <c r="O17" s="60" t="s">
        <v>82</v>
      </c>
      <c r="P17" s="61">
        <v>0</v>
      </c>
    </row>
    <row r="20" spans="2:16" x14ac:dyDescent="0.25">
      <c r="B20" s="288" t="s">
        <v>83</v>
      </c>
      <c r="C20" s="288"/>
      <c r="D20" s="288"/>
      <c r="E20" s="288"/>
      <c r="F20" s="288"/>
      <c r="G20" s="288"/>
      <c r="H20" s="288"/>
      <c r="I20" s="288"/>
      <c r="J20" s="288"/>
      <c r="K20" s="288"/>
      <c r="L20" s="288"/>
      <c r="M20" s="288"/>
      <c r="N20" s="288"/>
      <c r="O20" s="288"/>
      <c r="P20" s="288"/>
    </row>
    <row r="21" spans="2:16" x14ac:dyDescent="0.25">
      <c r="B21" s="213"/>
      <c r="C21" s="215" t="s">
        <v>50</v>
      </c>
      <c r="D21" s="215" t="s">
        <v>51</v>
      </c>
      <c r="E21" s="215" t="s">
        <v>52</v>
      </c>
      <c r="F21" s="215" t="s">
        <v>53</v>
      </c>
      <c r="G21" s="215" t="s">
        <v>54</v>
      </c>
      <c r="H21" s="215" t="s">
        <v>55</v>
      </c>
      <c r="I21" s="215" t="s">
        <v>56</v>
      </c>
      <c r="J21" s="215" t="s">
        <v>57</v>
      </c>
      <c r="K21" s="215" t="s">
        <v>58</v>
      </c>
      <c r="L21" s="215" t="s">
        <v>59</v>
      </c>
      <c r="M21" s="215" t="s">
        <v>60</v>
      </c>
      <c r="N21" s="215" t="s">
        <v>61</v>
      </c>
      <c r="O21" s="220" t="s">
        <v>62</v>
      </c>
      <c r="P21" s="221"/>
    </row>
    <row r="22" spans="2:16" x14ac:dyDescent="0.25">
      <c r="B22" s="214"/>
      <c r="C22" s="216"/>
      <c r="D22" s="216"/>
      <c r="E22" s="216"/>
      <c r="F22" s="216"/>
      <c r="G22" s="216"/>
      <c r="H22" s="216"/>
      <c r="I22" s="216"/>
      <c r="J22" s="216"/>
      <c r="K22" s="216"/>
      <c r="L22" s="216"/>
      <c r="M22" s="216"/>
      <c r="N22" s="216"/>
      <c r="O22" s="58" t="s">
        <v>64</v>
      </c>
      <c r="P22" s="58" t="s">
        <v>65</v>
      </c>
    </row>
    <row r="23" spans="2:16" x14ac:dyDescent="0.25">
      <c r="B23" s="35" t="s">
        <v>84</v>
      </c>
      <c r="C23" s="35">
        <v>7100</v>
      </c>
      <c r="D23" s="35">
        <v>7100</v>
      </c>
      <c r="E23" s="35">
        <v>7100</v>
      </c>
      <c r="F23" s="35">
        <v>7100</v>
      </c>
      <c r="G23" s="35">
        <v>7100</v>
      </c>
      <c r="H23" s="35">
        <v>7100</v>
      </c>
      <c r="I23" s="35">
        <v>7100</v>
      </c>
      <c r="J23" s="35">
        <v>7100</v>
      </c>
      <c r="K23" s="35">
        <v>7100</v>
      </c>
      <c r="L23" s="35">
        <v>7100</v>
      </c>
      <c r="M23" s="35">
        <v>7100</v>
      </c>
      <c r="N23" s="35">
        <v>7100</v>
      </c>
      <c r="O23" s="60" t="s">
        <v>85</v>
      </c>
      <c r="P23" s="61">
        <f>SUM(C23:N23)</f>
        <v>85200</v>
      </c>
    </row>
    <row r="24" spans="2:16" x14ac:dyDescent="0.25">
      <c r="B24" s="34" t="s">
        <v>86</v>
      </c>
      <c r="C24" s="34">
        <f t="shared" ref="C24:N24" si="7">C23*20%</f>
        <v>1420</v>
      </c>
      <c r="D24" s="34">
        <f t="shared" si="7"/>
        <v>1420</v>
      </c>
      <c r="E24" s="34">
        <f t="shared" si="7"/>
        <v>1420</v>
      </c>
      <c r="F24" s="34">
        <f t="shared" si="7"/>
        <v>1420</v>
      </c>
      <c r="G24" s="34">
        <f t="shared" si="7"/>
        <v>1420</v>
      </c>
      <c r="H24" s="34">
        <f t="shared" si="7"/>
        <v>1420</v>
      </c>
      <c r="I24" s="34">
        <f t="shared" si="7"/>
        <v>1420</v>
      </c>
      <c r="J24" s="34">
        <f t="shared" si="7"/>
        <v>1420</v>
      </c>
      <c r="K24" s="34">
        <f t="shared" si="7"/>
        <v>1420</v>
      </c>
      <c r="L24" s="34">
        <f t="shared" si="7"/>
        <v>1420</v>
      </c>
      <c r="M24" s="34">
        <f t="shared" si="7"/>
        <v>1420</v>
      </c>
      <c r="N24" s="34">
        <f t="shared" si="7"/>
        <v>1420</v>
      </c>
      <c r="O24" s="34"/>
      <c r="P24" s="34"/>
    </row>
    <row r="25" spans="2:16" x14ac:dyDescent="0.25">
      <c r="B25" s="34" t="s">
        <v>87</v>
      </c>
      <c r="C25" s="34">
        <f t="shared" ref="C25:N25" si="8">C23+C24</f>
        <v>8520</v>
      </c>
      <c r="D25" s="34">
        <f t="shared" si="8"/>
        <v>8520</v>
      </c>
      <c r="E25" s="34">
        <f t="shared" si="8"/>
        <v>8520</v>
      </c>
      <c r="F25" s="34">
        <f t="shared" si="8"/>
        <v>8520</v>
      </c>
      <c r="G25" s="34">
        <f t="shared" si="8"/>
        <v>8520</v>
      </c>
      <c r="H25" s="34">
        <f t="shared" si="8"/>
        <v>8520</v>
      </c>
      <c r="I25" s="34">
        <f t="shared" si="8"/>
        <v>8520</v>
      </c>
      <c r="J25" s="34">
        <f t="shared" si="8"/>
        <v>8520</v>
      </c>
      <c r="K25" s="34">
        <f t="shared" si="8"/>
        <v>8520</v>
      </c>
      <c r="L25" s="34">
        <f t="shared" si="8"/>
        <v>8520</v>
      </c>
      <c r="M25" s="34">
        <f t="shared" si="8"/>
        <v>8520</v>
      </c>
      <c r="N25" s="34">
        <f t="shared" si="8"/>
        <v>8520</v>
      </c>
      <c r="O25" s="34"/>
      <c r="P25" s="34"/>
    </row>
    <row r="26" spans="2:16" x14ac:dyDescent="0.25">
      <c r="B26" s="59" t="s">
        <v>81</v>
      </c>
      <c r="C26" s="59">
        <f t="shared" ref="C26:N26" si="9">+C23+C24</f>
        <v>8520</v>
      </c>
      <c r="D26" s="59">
        <f t="shared" si="9"/>
        <v>8520</v>
      </c>
      <c r="E26" s="59">
        <f t="shared" si="9"/>
        <v>8520</v>
      </c>
      <c r="F26" s="59">
        <f t="shared" si="9"/>
        <v>8520</v>
      </c>
      <c r="G26" s="59">
        <f t="shared" si="9"/>
        <v>8520</v>
      </c>
      <c r="H26" s="59">
        <f t="shared" si="9"/>
        <v>8520</v>
      </c>
      <c r="I26" s="59">
        <f t="shared" si="9"/>
        <v>8520</v>
      </c>
      <c r="J26" s="59">
        <f t="shared" si="9"/>
        <v>8520</v>
      </c>
      <c r="K26" s="59">
        <f t="shared" si="9"/>
        <v>8520</v>
      </c>
      <c r="L26" s="59">
        <f t="shared" si="9"/>
        <v>8520</v>
      </c>
      <c r="M26" s="59">
        <f t="shared" si="9"/>
        <v>8520</v>
      </c>
      <c r="N26" s="59">
        <f t="shared" si="9"/>
        <v>8520</v>
      </c>
      <c r="O26" s="34"/>
      <c r="P26" s="34"/>
    </row>
    <row r="27" spans="2:16" x14ac:dyDescent="0.25">
      <c r="B27" s="34" t="s">
        <v>89</v>
      </c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>
        <v>7500</v>
      </c>
      <c r="O27" s="34"/>
      <c r="P27" s="34"/>
    </row>
    <row r="28" spans="2:16" x14ac:dyDescent="0.25">
      <c r="B28" s="34" t="s">
        <v>92</v>
      </c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>
        <f>P28</f>
        <v>3214.2857142857142</v>
      </c>
      <c r="O28" s="61" t="s">
        <v>90</v>
      </c>
      <c r="P28" s="61">
        <f>Emprunt!K5</f>
        <v>3214.2857142857142</v>
      </c>
    </row>
    <row r="29" spans="2:16" x14ac:dyDescent="0.25">
      <c r="B29" s="59" t="s">
        <v>94</v>
      </c>
      <c r="C29" s="59">
        <f t="shared" ref="C29:N29" si="10">C27+C28</f>
        <v>0</v>
      </c>
      <c r="D29" s="59">
        <f t="shared" si="10"/>
        <v>0</v>
      </c>
      <c r="E29" s="59">
        <f t="shared" si="10"/>
        <v>0</v>
      </c>
      <c r="F29" s="59">
        <f t="shared" si="10"/>
        <v>0</v>
      </c>
      <c r="G29" s="59">
        <f t="shared" si="10"/>
        <v>0</v>
      </c>
      <c r="H29" s="59">
        <f t="shared" si="10"/>
        <v>0</v>
      </c>
      <c r="I29" s="59">
        <f t="shared" si="10"/>
        <v>0</v>
      </c>
      <c r="J29" s="59">
        <f t="shared" si="10"/>
        <v>0</v>
      </c>
      <c r="K29" s="59">
        <f t="shared" si="10"/>
        <v>0</v>
      </c>
      <c r="L29" s="59">
        <f t="shared" si="10"/>
        <v>0</v>
      </c>
      <c r="M29" s="59">
        <f t="shared" si="10"/>
        <v>0</v>
      </c>
      <c r="N29" s="59">
        <f t="shared" si="10"/>
        <v>10714.285714285714</v>
      </c>
      <c r="O29" s="60" t="s">
        <v>93</v>
      </c>
      <c r="P29" s="61">
        <f>SUM(C29:N29)</f>
        <v>10714.285714285714</v>
      </c>
    </row>
    <row r="30" spans="2:16" x14ac:dyDescent="0.25">
      <c r="B30" s="34" t="s">
        <v>95</v>
      </c>
      <c r="C30" s="34">
        <f t="shared" ref="C30:N30" si="11">307500/12</f>
        <v>25625</v>
      </c>
      <c r="D30" s="34">
        <f t="shared" si="11"/>
        <v>25625</v>
      </c>
      <c r="E30" s="34">
        <f t="shared" si="11"/>
        <v>25625</v>
      </c>
      <c r="F30" s="34">
        <f t="shared" si="11"/>
        <v>25625</v>
      </c>
      <c r="G30" s="34">
        <f t="shared" si="11"/>
        <v>25625</v>
      </c>
      <c r="H30" s="34">
        <f t="shared" si="11"/>
        <v>25625</v>
      </c>
      <c r="I30" s="34">
        <f t="shared" si="11"/>
        <v>25625</v>
      </c>
      <c r="J30" s="34">
        <f t="shared" si="11"/>
        <v>25625</v>
      </c>
      <c r="K30" s="34">
        <f t="shared" si="11"/>
        <v>25625</v>
      </c>
      <c r="L30" s="34">
        <f t="shared" si="11"/>
        <v>25625</v>
      </c>
      <c r="M30" s="34">
        <f t="shared" si="11"/>
        <v>25625</v>
      </c>
      <c r="N30" s="34">
        <f t="shared" si="11"/>
        <v>25625</v>
      </c>
      <c r="O30" s="37"/>
      <c r="P30" s="37"/>
    </row>
    <row r="31" spans="2:16" x14ac:dyDescent="0.25">
      <c r="B31" s="59" t="s">
        <v>96</v>
      </c>
      <c r="C31" s="59">
        <f t="shared" ref="C31:N31" si="12">C30</f>
        <v>25625</v>
      </c>
      <c r="D31" s="59">
        <f t="shared" si="12"/>
        <v>25625</v>
      </c>
      <c r="E31" s="59">
        <f t="shared" si="12"/>
        <v>25625</v>
      </c>
      <c r="F31" s="59">
        <f t="shared" si="12"/>
        <v>25625</v>
      </c>
      <c r="G31" s="59">
        <f t="shared" si="12"/>
        <v>25625</v>
      </c>
      <c r="H31" s="59">
        <f t="shared" si="12"/>
        <v>25625</v>
      </c>
      <c r="I31" s="59">
        <f t="shared" si="12"/>
        <v>25625</v>
      </c>
      <c r="J31" s="59">
        <f t="shared" si="12"/>
        <v>25625</v>
      </c>
      <c r="K31" s="59">
        <f t="shared" si="12"/>
        <v>25625</v>
      </c>
      <c r="L31" s="59">
        <f t="shared" si="12"/>
        <v>25625</v>
      </c>
      <c r="M31" s="59">
        <f t="shared" si="12"/>
        <v>25625</v>
      </c>
      <c r="N31" s="59">
        <f t="shared" si="12"/>
        <v>25625</v>
      </c>
      <c r="O31" s="60" t="s">
        <v>97</v>
      </c>
      <c r="P31" s="61">
        <f>SUM(C31:N31)</f>
        <v>307500</v>
      </c>
    </row>
    <row r="32" spans="2:16" x14ac:dyDescent="0.25">
      <c r="B32" s="34" t="s">
        <v>21</v>
      </c>
      <c r="C32" s="34">
        <f t="shared" ref="C32:N32" si="13">C30*0.4</f>
        <v>10250</v>
      </c>
      <c r="D32" s="34">
        <f t="shared" si="13"/>
        <v>10250</v>
      </c>
      <c r="E32" s="34">
        <f t="shared" si="13"/>
        <v>10250</v>
      </c>
      <c r="F32" s="34">
        <f t="shared" si="13"/>
        <v>10250</v>
      </c>
      <c r="G32" s="34">
        <f t="shared" si="13"/>
        <v>10250</v>
      </c>
      <c r="H32" s="34">
        <f t="shared" si="13"/>
        <v>10250</v>
      </c>
      <c r="I32" s="34">
        <f t="shared" si="13"/>
        <v>10250</v>
      </c>
      <c r="J32" s="34">
        <f t="shared" si="13"/>
        <v>10250</v>
      </c>
      <c r="K32" s="34">
        <f t="shared" si="13"/>
        <v>10250</v>
      </c>
      <c r="L32" s="34">
        <f t="shared" si="13"/>
        <v>10250</v>
      </c>
      <c r="M32" s="34">
        <f t="shared" si="13"/>
        <v>10250</v>
      </c>
      <c r="N32" s="34">
        <f t="shared" si="13"/>
        <v>10250</v>
      </c>
      <c r="O32" s="60" t="s">
        <v>98</v>
      </c>
      <c r="P32" s="61">
        <f>SUM(C32:N32)</f>
        <v>123000</v>
      </c>
    </row>
    <row r="33" spans="2:31" x14ac:dyDescent="0.25">
      <c r="B33" s="59" t="s">
        <v>99</v>
      </c>
      <c r="C33" s="59">
        <v>16000</v>
      </c>
      <c r="D33" s="59">
        <f t="shared" ref="D33:N33" si="14">C32</f>
        <v>10250</v>
      </c>
      <c r="E33" s="59">
        <f t="shared" si="14"/>
        <v>10250</v>
      </c>
      <c r="F33" s="59">
        <f t="shared" si="14"/>
        <v>10250</v>
      </c>
      <c r="G33" s="59">
        <f t="shared" si="14"/>
        <v>10250</v>
      </c>
      <c r="H33" s="59">
        <f t="shared" si="14"/>
        <v>10250</v>
      </c>
      <c r="I33" s="59">
        <f t="shared" si="14"/>
        <v>10250</v>
      </c>
      <c r="J33" s="59">
        <f t="shared" si="14"/>
        <v>10250</v>
      </c>
      <c r="K33" s="59">
        <f t="shared" si="14"/>
        <v>10250</v>
      </c>
      <c r="L33" s="59">
        <f t="shared" si="14"/>
        <v>10250</v>
      </c>
      <c r="M33" s="59">
        <f t="shared" si="14"/>
        <v>10250</v>
      </c>
      <c r="N33" s="59">
        <f t="shared" si="14"/>
        <v>10250</v>
      </c>
      <c r="O33" s="60" t="s">
        <v>100</v>
      </c>
      <c r="P33" s="61">
        <f>N32</f>
        <v>10250</v>
      </c>
    </row>
    <row r="36" spans="2:31" x14ac:dyDescent="0.25">
      <c r="B36" s="288" t="s">
        <v>101</v>
      </c>
      <c r="C36" s="288"/>
      <c r="D36" s="288"/>
      <c r="E36" s="288"/>
      <c r="F36" s="288"/>
      <c r="G36" s="288"/>
      <c r="H36" s="288"/>
      <c r="I36" s="288"/>
      <c r="J36" s="288"/>
      <c r="K36" s="288"/>
      <c r="L36" s="288"/>
      <c r="M36" s="288"/>
      <c r="N36" s="288"/>
      <c r="O36" s="288"/>
      <c r="P36" s="288"/>
    </row>
    <row r="37" spans="2:31" x14ac:dyDescent="0.25">
      <c r="B37" s="213"/>
      <c r="C37" s="215" t="s">
        <v>50</v>
      </c>
      <c r="D37" s="215" t="s">
        <v>51</v>
      </c>
      <c r="E37" s="215" t="s">
        <v>52</v>
      </c>
      <c r="F37" s="215" t="s">
        <v>53</v>
      </c>
      <c r="G37" s="215" t="s">
        <v>54</v>
      </c>
      <c r="H37" s="215" t="s">
        <v>55</v>
      </c>
      <c r="I37" s="215" t="s">
        <v>56</v>
      </c>
      <c r="J37" s="215" t="s">
        <v>57</v>
      </c>
      <c r="K37" s="215" t="s">
        <v>58</v>
      </c>
      <c r="L37" s="215" t="s">
        <v>59</v>
      </c>
      <c r="M37" s="215" t="s">
        <v>60</v>
      </c>
      <c r="N37" s="215" t="s">
        <v>61</v>
      </c>
      <c r="O37" s="220" t="s">
        <v>62</v>
      </c>
      <c r="P37" s="221"/>
    </row>
    <row r="38" spans="2:31" x14ac:dyDescent="0.25">
      <c r="B38" s="214"/>
      <c r="C38" s="216"/>
      <c r="D38" s="216"/>
      <c r="E38" s="216"/>
      <c r="F38" s="216"/>
      <c r="G38" s="216"/>
      <c r="H38" s="216"/>
      <c r="I38" s="216"/>
      <c r="J38" s="216"/>
      <c r="K38" s="216"/>
      <c r="L38" s="216"/>
      <c r="M38" s="216"/>
      <c r="N38" s="216"/>
      <c r="O38" s="58" t="s">
        <v>64</v>
      </c>
      <c r="P38" s="58" t="s">
        <v>65</v>
      </c>
    </row>
    <row r="39" spans="2:31" x14ac:dyDescent="0.25">
      <c r="B39" s="46" t="s">
        <v>102</v>
      </c>
      <c r="C39" s="35"/>
      <c r="D39" s="35"/>
      <c r="E39" s="35"/>
      <c r="F39" s="35"/>
      <c r="G39" s="35"/>
      <c r="H39" s="35"/>
      <c r="I39" s="35"/>
      <c r="J39" s="35"/>
      <c r="K39" s="35"/>
      <c r="L39" s="35">
        <v>8200</v>
      </c>
      <c r="M39" s="35"/>
      <c r="N39" s="35"/>
      <c r="O39" s="60" t="s">
        <v>103</v>
      </c>
      <c r="P39" s="61">
        <f>SUM(C39:N39)</f>
        <v>8200</v>
      </c>
    </row>
    <row r="40" spans="2:31" x14ac:dyDescent="0.25">
      <c r="B40" s="34" t="s">
        <v>105</v>
      </c>
      <c r="C40" s="34"/>
      <c r="D40" s="34"/>
      <c r="E40" s="34"/>
      <c r="F40" s="34"/>
      <c r="G40" s="34"/>
      <c r="H40" s="34"/>
      <c r="I40" s="34"/>
      <c r="J40" s="34"/>
      <c r="K40" s="34"/>
      <c r="L40" s="34">
        <v>8200</v>
      </c>
      <c r="M40" s="34"/>
      <c r="N40" s="34"/>
      <c r="O40" s="34"/>
      <c r="P40" s="34"/>
    </row>
    <row r="41" spans="2:31" x14ac:dyDescent="0.25">
      <c r="B41" s="34" t="s">
        <v>106</v>
      </c>
      <c r="C41" s="34">
        <f t="shared" ref="C41:N41" si="15">$P$41/12</f>
        <v>350</v>
      </c>
      <c r="D41" s="34">
        <f t="shared" si="15"/>
        <v>350</v>
      </c>
      <c r="E41" s="34">
        <f t="shared" si="15"/>
        <v>350</v>
      </c>
      <c r="F41" s="34">
        <f t="shared" si="15"/>
        <v>350</v>
      </c>
      <c r="G41" s="34">
        <f t="shared" si="15"/>
        <v>350</v>
      </c>
      <c r="H41" s="34">
        <f t="shared" si="15"/>
        <v>350</v>
      </c>
      <c r="I41" s="34">
        <f t="shared" si="15"/>
        <v>350</v>
      </c>
      <c r="J41" s="34">
        <f t="shared" si="15"/>
        <v>350</v>
      </c>
      <c r="K41" s="34">
        <f t="shared" si="15"/>
        <v>350</v>
      </c>
      <c r="L41" s="34">
        <f t="shared" si="15"/>
        <v>350</v>
      </c>
      <c r="M41" s="34">
        <f t="shared" si="15"/>
        <v>350</v>
      </c>
      <c r="N41" s="34">
        <f t="shared" si="15"/>
        <v>350</v>
      </c>
      <c r="O41" s="60" t="s">
        <v>107</v>
      </c>
      <c r="P41" s="61">
        <f>Informations!D13</f>
        <v>4200</v>
      </c>
    </row>
    <row r="42" spans="2:31" x14ac:dyDescent="0.25">
      <c r="B42" s="34" t="s">
        <v>108</v>
      </c>
      <c r="C42" s="34">
        <f>Informations!$E13/12</f>
        <v>3333.3333333333335</v>
      </c>
      <c r="D42" s="34">
        <f>Informations!$E13/12</f>
        <v>3333.3333333333335</v>
      </c>
      <c r="E42" s="34">
        <f>Informations!$E13/12</f>
        <v>3333.3333333333335</v>
      </c>
      <c r="F42" s="34">
        <f>Informations!$E13/12</f>
        <v>3333.3333333333335</v>
      </c>
      <c r="G42" s="34">
        <f>Informations!$E13/12</f>
        <v>3333.3333333333335</v>
      </c>
      <c r="H42" s="34">
        <f>Informations!$E13/12</f>
        <v>3333.3333333333335</v>
      </c>
      <c r="I42" s="34">
        <f>Informations!$E13/12</f>
        <v>3333.3333333333335</v>
      </c>
      <c r="J42" s="34">
        <f>Informations!$E13/12</f>
        <v>3333.3333333333335</v>
      </c>
      <c r="K42" s="34">
        <f>Informations!$E13/12</f>
        <v>3333.3333333333335</v>
      </c>
      <c r="L42" s="34">
        <f>Informations!$E13/12</f>
        <v>3333.3333333333335</v>
      </c>
      <c r="M42" s="34">
        <f>Informations!$E13/12</f>
        <v>3333.3333333333335</v>
      </c>
      <c r="N42" s="34">
        <f>Informations!$E13/12</f>
        <v>3333.3333333333335</v>
      </c>
      <c r="O42" s="60" t="s">
        <v>109</v>
      </c>
      <c r="P42" s="61">
        <f>Informations!E13</f>
        <v>40000</v>
      </c>
    </row>
    <row r="43" spans="2:31" x14ac:dyDescent="0.25">
      <c r="B43" s="34" t="s">
        <v>217</v>
      </c>
      <c r="C43" s="34">
        <f>Informations!$I31</f>
        <v>0</v>
      </c>
      <c r="D43" s="34">
        <f>Informations!$I31</f>
        <v>0</v>
      </c>
      <c r="E43" s="34">
        <f>Informations!$I31</f>
        <v>0</v>
      </c>
      <c r="F43" s="34">
        <f>Informations!$I31</f>
        <v>0</v>
      </c>
      <c r="G43" s="34">
        <f>Informations!$I31</f>
        <v>0</v>
      </c>
      <c r="H43" s="34">
        <f>Informations!$I31</f>
        <v>0</v>
      </c>
      <c r="I43" s="34">
        <f>Informations!$I31</f>
        <v>0</v>
      </c>
      <c r="J43" s="34">
        <f>Informations!$I31</f>
        <v>0</v>
      </c>
      <c r="K43" s="34">
        <f>Informations!$I31</f>
        <v>0</v>
      </c>
      <c r="L43" s="34">
        <f>Informations!$I31</f>
        <v>0</v>
      </c>
      <c r="M43" s="34">
        <f>Informations!$I31</f>
        <v>0</v>
      </c>
      <c r="N43" s="34">
        <f>Informations!$I31</f>
        <v>0</v>
      </c>
      <c r="O43" s="60" t="s">
        <v>226</v>
      </c>
      <c r="P43" s="61">
        <f>SUM(C43:N43)</f>
        <v>0</v>
      </c>
    </row>
    <row r="44" spans="2:31" x14ac:dyDescent="0.25">
      <c r="B44" s="59" t="s">
        <v>71</v>
      </c>
      <c r="C44" s="59">
        <f>C41+C42+C43</f>
        <v>3683.3333333333335</v>
      </c>
      <c r="D44" s="59">
        <f t="shared" ref="D44:N44" si="16">D41+D42+D43</f>
        <v>3683.3333333333335</v>
      </c>
      <c r="E44" s="59">
        <f t="shared" si="16"/>
        <v>3683.3333333333335</v>
      </c>
      <c r="F44" s="59">
        <f t="shared" si="16"/>
        <v>3683.3333333333335</v>
      </c>
      <c r="G44" s="59">
        <f t="shared" si="16"/>
        <v>3683.3333333333335</v>
      </c>
      <c r="H44" s="59">
        <f t="shared" si="16"/>
        <v>3683.3333333333335</v>
      </c>
      <c r="I44" s="59">
        <f t="shared" si="16"/>
        <v>3683.3333333333335</v>
      </c>
      <c r="J44" s="59">
        <f t="shared" si="16"/>
        <v>3683.3333333333335</v>
      </c>
      <c r="K44" s="59">
        <f t="shared" si="16"/>
        <v>3683.3333333333335</v>
      </c>
      <c r="L44" s="59">
        <f t="shared" si="16"/>
        <v>3683.3333333333335</v>
      </c>
      <c r="M44" s="59">
        <f t="shared" si="16"/>
        <v>3683.3333333333335</v>
      </c>
      <c r="N44" s="59">
        <f t="shared" si="16"/>
        <v>3683.3333333333335</v>
      </c>
      <c r="O44" s="38"/>
      <c r="P44" s="38"/>
    </row>
    <row r="46" spans="2:31" x14ac:dyDescent="0.25">
      <c r="S46" s="283" t="s">
        <v>203</v>
      </c>
      <c r="T46" s="283" t="s">
        <v>50</v>
      </c>
      <c r="U46" s="283" t="s">
        <v>51</v>
      </c>
      <c r="V46" s="283" t="s">
        <v>52</v>
      </c>
      <c r="W46" s="283" t="s">
        <v>53</v>
      </c>
      <c r="X46" s="283" t="s">
        <v>54</v>
      </c>
      <c r="Y46" s="283" t="s">
        <v>55</v>
      </c>
      <c r="Z46" s="283" t="s">
        <v>56</v>
      </c>
      <c r="AA46" s="283" t="s">
        <v>57</v>
      </c>
      <c r="AB46" s="283" t="s">
        <v>58</v>
      </c>
      <c r="AC46" s="283" t="s">
        <v>59</v>
      </c>
      <c r="AD46" s="283" t="s">
        <v>60</v>
      </c>
      <c r="AE46" s="283" t="s">
        <v>61</v>
      </c>
    </row>
    <row r="47" spans="2:31" x14ac:dyDescent="0.25">
      <c r="B47" s="288" t="s">
        <v>110</v>
      </c>
      <c r="C47" s="288"/>
      <c r="D47" s="288"/>
      <c r="E47" s="288"/>
      <c r="F47" s="288"/>
      <c r="G47" s="288"/>
      <c r="H47" s="288"/>
      <c r="I47" s="288"/>
      <c r="J47" s="288"/>
      <c r="K47" s="288"/>
      <c r="L47" s="288"/>
      <c r="M47" s="288"/>
      <c r="N47" s="288"/>
      <c r="O47" s="288"/>
      <c r="P47" s="288"/>
      <c r="S47" s="283"/>
      <c r="T47" s="283"/>
      <c r="U47" s="283"/>
      <c r="V47" s="283"/>
      <c r="W47" s="283"/>
      <c r="X47" s="283"/>
      <c r="Y47" s="283"/>
      <c r="Z47" s="283"/>
      <c r="AA47" s="283"/>
      <c r="AB47" s="283"/>
      <c r="AC47" s="283"/>
      <c r="AD47" s="283"/>
      <c r="AE47" s="283"/>
    </row>
    <row r="48" spans="2:31" x14ac:dyDescent="0.25">
      <c r="B48" s="213"/>
      <c r="C48" s="215" t="s">
        <v>50</v>
      </c>
      <c r="D48" s="215" t="s">
        <v>51</v>
      </c>
      <c r="E48" s="215" t="s">
        <v>52</v>
      </c>
      <c r="F48" s="215" t="s">
        <v>53</v>
      </c>
      <c r="G48" s="215" t="s">
        <v>54</v>
      </c>
      <c r="H48" s="215" t="s">
        <v>55</v>
      </c>
      <c r="I48" s="215" t="s">
        <v>56</v>
      </c>
      <c r="J48" s="215" t="s">
        <v>57</v>
      </c>
      <c r="K48" s="215" t="s">
        <v>58</v>
      </c>
      <c r="L48" s="215" t="s">
        <v>59</v>
      </c>
      <c r="M48" s="215" t="s">
        <v>60</v>
      </c>
      <c r="N48" s="215" t="s">
        <v>61</v>
      </c>
      <c r="O48" s="220" t="s">
        <v>62</v>
      </c>
      <c r="P48" s="221"/>
      <c r="S48" s="59" t="s">
        <v>204</v>
      </c>
      <c r="T48" s="59">
        <f t="shared" ref="T48:AE48" si="17">C73</f>
        <v>78000</v>
      </c>
      <c r="U48" s="59">
        <f t="shared" si="17"/>
        <v>6364.8</v>
      </c>
      <c r="V48" s="59">
        <f t="shared" si="17"/>
        <v>36364.800000000003</v>
      </c>
      <c r="W48" s="59">
        <f t="shared" si="17"/>
        <v>6364.8</v>
      </c>
      <c r="X48" s="59">
        <f t="shared" si="17"/>
        <v>6364.8</v>
      </c>
      <c r="Y48" s="59">
        <f t="shared" si="17"/>
        <v>7864.8</v>
      </c>
      <c r="Z48" s="59">
        <f t="shared" si="17"/>
        <v>6364.8</v>
      </c>
      <c r="AA48" s="59">
        <f t="shared" si="17"/>
        <v>6364.8</v>
      </c>
      <c r="AB48" s="59">
        <f t="shared" si="17"/>
        <v>6364.8</v>
      </c>
      <c r="AC48" s="59">
        <f t="shared" si="17"/>
        <v>6364.8</v>
      </c>
      <c r="AD48" s="59">
        <f t="shared" si="17"/>
        <v>6364.8</v>
      </c>
      <c r="AE48" s="59">
        <f t="shared" si="17"/>
        <v>6364.8</v>
      </c>
    </row>
    <row r="49" spans="2:31" x14ac:dyDescent="0.25">
      <c r="B49" s="214"/>
      <c r="C49" s="216"/>
      <c r="D49" s="216"/>
      <c r="E49" s="216"/>
      <c r="F49" s="216"/>
      <c r="G49" s="216"/>
      <c r="H49" s="216"/>
      <c r="I49" s="216"/>
      <c r="J49" s="216"/>
      <c r="K49" s="216"/>
      <c r="L49" s="216"/>
      <c r="M49" s="216"/>
      <c r="N49" s="216"/>
      <c r="O49" s="58" t="s">
        <v>64</v>
      </c>
      <c r="P49" s="58" t="s">
        <v>65</v>
      </c>
      <c r="S49" s="34" t="s">
        <v>205</v>
      </c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</row>
    <row r="50" spans="2:31" x14ac:dyDescent="0.25">
      <c r="B50" s="35" t="s">
        <v>111</v>
      </c>
      <c r="C50" s="35">
        <f>Emprunt!J4</f>
        <v>22500</v>
      </c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60" t="s">
        <v>112</v>
      </c>
      <c r="P50" s="61">
        <f>SUM(C50:N50)</f>
        <v>22500</v>
      </c>
      <c r="S50" s="34" t="s">
        <v>206</v>
      </c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</row>
    <row r="51" spans="2:31" x14ac:dyDescent="0.25">
      <c r="B51" s="34" t="s">
        <v>113</v>
      </c>
      <c r="C51" s="34">
        <f>C50*20%</f>
        <v>4500</v>
      </c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S51" s="34" t="s">
        <v>207</v>
      </c>
      <c r="T51" s="34">
        <f>59390</f>
        <v>59390</v>
      </c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</row>
    <row r="52" spans="2:31" x14ac:dyDescent="0.25">
      <c r="B52" s="34" t="s">
        <v>114</v>
      </c>
      <c r="C52" s="34">
        <f>C50+C51</f>
        <v>27000</v>
      </c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S52" s="59" t="s">
        <v>210</v>
      </c>
      <c r="T52" s="59">
        <f>T48+T51</f>
        <v>137390</v>
      </c>
      <c r="U52" s="59">
        <f t="shared" ref="U52:AE52" si="18">SUM(U48:U51)</f>
        <v>6364.8</v>
      </c>
      <c r="V52" s="59">
        <f t="shared" si="18"/>
        <v>36364.800000000003</v>
      </c>
      <c r="W52" s="59">
        <f t="shared" si="18"/>
        <v>6364.8</v>
      </c>
      <c r="X52" s="59">
        <f t="shared" si="18"/>
        <v>6364.8</v>
      </c>
      <c r="Y52" s="59">
        <f t="shared" si="18"/>
        <v>7864.8</v>
      </c>
      <c r="Z52" s="59">
        <f t="shared" si="18"/>
        <v>6364.8</v>
      </c>
      <c r="AA52" s="59">
        <f t="shared" si="18"/>
        <v>6364.8</v>
      </c>
      <c r="AB52" s="59">
        <f t="shared" si="18"/>
        <v>6364.8</v>
      </c>
      <c r="AC52" s="59">
        <f t="shared" si="18"/>
        <v>6364.8</v>
      </c>
      <c r="AD52" s="59">
        <f t="shared" si="18"/>
        <v>6364.8</v>
      </c>
      <c r="AE52" s="59">
        <f t="shared" si="18"/>
        <v>6364.8</v>
      </c>
    </row>
    <row r="53" spans="2:31" x14ac:dyDescent="0.25">
      <c r="B53" s="59" t="s">
        <v>81</v>
      </c>
      <c r="C53" s="59">
        <f>C52</f>
        <v>27000</v>
      </c>
      <c r="D53" s="59"/>
      <c r="E53" s="59"/>
      <c r="F53" s="59"/>
      <c r="G53" s="59"/>
      <c r="H53" s="59"/>
      <c r="I53" s="59"/>
      <c r="J53" s="59"/>
      <c r="K53" s="59"/>
      <c r="L53" s="59"/>
      <c r="M53" s="59"/>
      <c r="N53" s="59"/>
      <c r="O53" s="60" t="s">
        <v>220</v>
      </c>
      <c r="P53" s="61">
        <v>0</v>
      </c>
      <c r="S53" s="34" t="s">
        <v>211</v>
      </c>
      <c r="T53" s="34">
        <f t="shared" ref="T53:AE53" si="19">C83</f>
        <v>121612.77333333333</v>
      </c>
      <c r="U53" s="34">
        <f t="shared" si="19"/>
        <v>45185.333333333336</v>
      </c>
      <c r="V53" s="34">
        <f t="shared" si="19"/>
        <v>49685.333333333336</v>
      </c>
      <c r="W53" s="34">
        <f t="shared" si="19"/>
        <v>49685.333333333336</v>
      </c>
      <c r="X53" s="34">
        <f t="shared" si="19"/>
        <v>49685.333333333336</v>
      </c>
      <c r="Y53" s="34">
        <f t="shared" si="19"/>
        <v>49685.333333333336</v>
      </c>
      <c r="Z53" s="34">
        <f t="shared" si="19"/>
        <v>49685.333333333336</v>
      </c>
      <c r="AA53" s="34">
        <f t="shared" si="19"/>
        <v>49685.333333333336</v>
      </c>
      <c r="AB53" s="34">
        <f t="shared" si="19"/>
        <v>49685.333333333336</v>
      </c>
      <c r="AC53" s="34">
        <f t="shared" si="19"/>
        <v>57885.333333333336</v>
      </c>
      <c r="AD53" s="34">
        <f t="shared" si="19"/>
        <v>49685.333333333336</v>
      </c>
      <c r="AE53" s="34">
        <f t="shared" si="19"/>
        <v>49685.333333333336</v>
      </c>
    </row>
    <row r="54" spans="2:31" x14ac:dyDescent="0.25">
      <c r="S54" s="34" t="s">
        <v>212</v>
      </c>
      <c r="T54" s="34"/>
      <c r="U54" s="34">
        <f t="shared" ref="U54:AE54" si="20">T51*0.07</f>
        <v>4157.3</v>
      </c>
      <c r="V54" s="34">
        <f t="shared" si="20"/>
        <v>0</v>
      </c>
      <c r="W54" s="34">
        <f t="shared" si="20"/>
        <v>0</v>
      </c>
      <c r="X54" s="34">
        <f t="shared" si="20"/>
        <v>0</v>
      </c>
      <c r="Y54" s="34">
        <f t="shared" si="20"/>
        <v>0</v>
      </c>
      <c r="Z54" s="34">
        <f t="shared" si="20"/>
        <v>0</v>
      </c>
      <c r="AA54" s="34">
        <f t="shared" si="20"/>
        <v>0</v>
      </c>
      <c r="AB54" s="34">
        <f t="shared" si="20"/>
        <v>0</v>
      </c>
      <c r="AC54" s="34">
        <f t="shared" si="20"/>
        <v>0</v>
      </c>
      <c r="AD54" s="34">
        <f t="shared" si="20"/>
        <v>0</v>
      </c>
      <c r="AE54" s="34">
        <f t="shared" si="20"/>
        <v>0</v>
      </c>
    </row>
    <row r="55" spans="2:31" x14ac:dyDescent="0.25">
      <c r="S55" s="59" t="s">
        <v>213</v>
      </c>
      <c r="T55" s="59">
        <f t="shared" ref="T55:AE55" si="21">T53+T54</f>
        <v>121612.77333333333</v>
      </c>
      <c r="U55" s="59">
        <f t="shared" si="21"/>
        <v>49342.633333333339</v>
      </c>
      <c r="V55" s="59">
        <f t="shared" si="21"/>
        <v>49685.333333333336</v>
      </c>
      <c r="W55" s="59">
        <f t="shared" si="21"/>
        <v>49685.333333333336</v>
      </c>
      <c r="X55" s="59">
        <f t="shared" si="21"/>
        <v>49685.333333333336</v>
      </c>
      <c r="Y55" s="59">
        <f t="shared" si="21"/>
        <v>49685.333333333336</v>
      </c>
      <c r="Z55" s="59">
        <f t="shared" si="21"/>
        <v>49685.333333333336</v>
      </c>
      <c r="AA55" s="59">
        <f t="shared" si="21"/>
        <v>49685.333333333336</v>
      </c>
      <c r="AB55" s="59">
        <f t="shared" si="21"/>
        <v>49685.333333333336</v>
      </c>
      <c r="AC55" s="59">
        <f t="shared" si="21"/>
        <v>57885.333333333336</v>
      </c>
      <c r="AD55" s="59">
        <f t="shared" si="21"/>
        <v>49685.333333333336</v>
      </c>
      <c r="AE55" s="59">
        <f t="shared" si="21"/>
        <v>49685.333333333336</v>
      </c>
    </row>
    <row r="56" spans="2:31" x14ac:dyDescent="0.25">
      <c r="B56" s="288" t="s">
        <v>116</v>
      </c>
      <c r="C56" s="288"/>
      <c r="D56" s="288"/>
      <c r="E56" s="288"/>
      <c r="F56" s="288"/>
      <c r="G56" s="288"/>
      <c r="H56" s="288"/>
      <c r="I56" s="288"/>
      <c r="J56" s="288"/>
      <c r="K56" s="288"/>
      <c r="L56" s="288"/>
      <c r="M56" s="288"/>
      <c r="N56" s="288"/>
      <c r="O56" s="288"/>
      <c r="P56" s="288"/>
      <c r="S56" s="34" t="s">
        <v>132</v>
      </c>
      <c r="T56" s="34">
        <f>C84</f>
        <v>6350</v>
      </c>
      <c r="U56" s="34">
        <f t="shared" ref="U56:AE56" si="22">T58</f>
        <v>22127.226666666669</v>
      </c>
      <c r="V56" s="34">
        <f t="shared" si="22"/>
        <v>-20850.606666666667</v>
      </c>
      <c r="W56" s="34">
        <f t="shared" si="22"/>
        <v>-34171.14</v>
      </c>
      <c r="X56" s="34">
        <f t="shared" si="22"/>
        <v>-77491.67333333334</v>
      </c>
      <c r="Y56" s="34">
        <f t="shared" si="22"/>
        <v>-120812.20666666667</v>
      </c>
      <c r="Z56" s="34">
        <f t="shared" si="22"/>
        <v>-162632.74</v>
      </c>
      <c r="AA56" s="34">
        <f t="shared" si="22"/>
        <v>-205953.27333333332</v>
      </c>
      <c r="AB56" s="34">
        <f t="shared" si="22"/>
        <v>-249273.80666666664</v>
      </c>
      <c r="AC56" s="34">
        <f t="shared" si="22"/>
        <v>-292594.33999999997</v>
      </c>
      <c r="AD56" s="34">
        <f t="shared" si="22"/>
        <v>-344114.87333333329</v>
      </c>
      <c r="AE56" s="34">
        <f t="shared" si="22"/>
        <v>-387435.40666666662</v>
      </c>
    </row>
    <row r="57" spans="2:31" x14ac:dyDescent="0.25">
      <c r="B57" s="213"/>
      <c r="C57" s="215" t="s">
        <v>50</v>
      </c>
      <c r="D57" s="215" t="s">
        <v>51</v>
      </c>
      <c r="E57" s="215" t="s">
        <v>52</v>
      </c>
      <c r="F57" s="215" t="s">
        <v>53</v>
      </c>
      <c r="G57" s="215" t="s">
        <v>54</v>
      </c>
      <c r="H57" s="215" t="s">
        <v>55</v>
      </c>
      <c r="I57" s="215" t="s">
        <v>56</v>
      </c>
      <c r="J57" s="215" t="s">
        <v>57</v>
      </c>
      <c r="K57" s="215" t="s">
        <v>58</v>
      </c>
      <c r="L57" s="215" t="s">
        <v>59</v>
      </c>
      <c r="M57" s="215" t="s">
        <v>60</v>
      </c>
      <c r="N57" s="215" t="s">
        <v>61</v>
      </c>
      <c r="O57" s="220" t="s">
        <v>62</v>
      </c>
      <c r="P57" s="221"/>
      <c r="S57" s="34" t="s">
        <v>133</v>
      </c>
      <c r="T57" s="34">
        <f>T52-T55</f>
        <v>15777.226666666669</v>
      </c>
      <c r="U57" s="34">
        <f t="shared" ref="U57:AE57" si="23">U52-U55</f>
        <v>-42977.833333333336</v>
      </c>
      <c r="V57" s="34">
        <f t="shared" si="23"/>
        <v>-13320.533333333333</v>
      </c>
      <c r="W57" s="34">
        <f t="shared" si="23"/>
        <v>-43320.533333333333</v>
      </c>
      <c r="X57" s="34">
        <f t="shared" si="23"/>
        <v>-43320.533333333333</v>
      </c>
      <c r="Y57" s="34">
        <f t="shared" si="23"/>
        <v>-41820.533333333333</v>
      </c>
      <c r="Z57" s="34">
        <f t="shared" si="23"/>
        <v>-43320.533333333333</v>
      </c>
      <c r="AA57" s="34">
        <f t="shared" si="23"/>
        <v>-43320.533333333333</v>
      </c>
      <c r="AB57" s="34">
        <f t="shared" si="23"/>
        <v>-43320.533333333333</v>
      </c>
      <c r="AC57" s="34">
        <f t="shared" si="23"/>
        <v>-51520.533333333333</v>
      </c>
      <c r="AD57" s="34">
        <f t="shared" si="23"/>
        <v>-43320.533333333333</v>
      </c>
      <c r="AE57" s="34">
        <f t="shared" si="23"/>
        <v>-43320.533333333333</v>
      </c>
    </row>
    <row r="58" spans="2:31" x14ac:dyDescent="0.25">
      <c r="B58" s="214"/>
      <c r="C58" s="216"/>
      <c r="D58" s="216"/>
      <c r="E58" s="216"/>
      <c r="F58" s="216"/>
      <c r="G58" s="216"/>
      <c r="H58" s="216"/>
      <c r="I58" s="216"/>
      <c r="J58" s="216"/>
      <c r="K58" s="216"/>
      <c r="L58" s="216"/>
      <c r="M58" s="216"/>
      <c r="N58" s="216"/>
      <c r="O58" s="58" t="s">
        <v>64</v>
      </c>
      <c r="P58" s="58" t="s">
        <v>65</v>
      </c>
      <c r="S58" s="34" t="s">
        <v>214</v>
      </c>
      <c r="T58" s="34">
        <f t="shared" ref="T58:AD58" si="24">T56+T57</f>
        <v>22127.226666666669</v>
      </c>
      <c r="U58" s="34">
        <f t="shared" si="24"/>
        <v>-20850.606666666667</v>
      </c>
      <c r="V58" s="34">
        <f t="shared" si="24"/>
        <v>-34171.14</v>
      </c>
      <c r="W58" s="34">
        <f t="shared" si="24"/>
        <v>-77491.67333333334</v>
      </c>
      <c r="X58" s="34">
        <f t="shared" si="24"/>
        <v>-120812.20666666667</v>
      </c>
      <c r="Y58" s="34">
        <f t="shared" si="24"/>
        <v>-162632.74</v>
      </c>
      <c r="Z58" s="34">
        <f t="shared" si="24"/>
        <v>-205953.27333333332</v>
      </c>
      <c r="AA58" s="34">
        <f t="shared" si="24"/>
        <v>-249273.80666666664</v>
      </c>
      <c r="AB58" s="34">
        <f t="shared" si="24"/>
        <v>-292594.33999999997</v>
      </c>
      <c r="AC58" s="34">
        <f t="shared" si="24"/>
        <v>-344114.87333333329</v>
      </c>
      <c r="AD58" s="34">
        <f t="shared" si="24"/>
        <v>-387435.40666666662</v>
      </c>
      <c r="AE58" s="34">
        <f>AE56+AE57</f>
        <v>-430755.93999999994</v>
      </c>
    </row>
    <row r="59" spans="2:31" x14ac:dyDescent="0.25">
      <c r="B59" s="59" t="s">
        <v>68</v>
      </c>
      <c r="C59" s="59">
        <f t="shared" ref="C59:N59" si="25">C6</f>
        <v>1060.8</v>
      </c>
      <c r="D59" s="59">
        <f t="shared" si="25"/>
        <v>1060.8</v>
      </c>
      <c r="E59" s="59">
        <f t="shared" si="25"/>
        <v>1060.8</v>
      </c>
      <c r="F59" s="59">
        <f t="shared" si="25"/>
        <v>1060.8</v>
      </c>
      <c r="G59" s="59">
        <f t="shared" si="25"/>
        <v>1060.8</v>
      </c>
      <c r="H59" s="59">
        <f t="shared" si="25"/>
        <v>1060.8</v>
      </c>
      <c r="I59" s="59">
        <f t="shared" si="25"/>
        <v>1060.8</v>
      </c>
      <c r="J59" s="59">
        <f t="shared" si="25"/>
        <v>1060.8</v>
      </c>
      <c r="K59" s="59">
        <f t="shared" si="25"/>
        <v>1060.8</v>
      </c>
      <c r="L59" s="59">
        <f t="shared" si="25"/>
        <v>1060.8</v>
      </c>
      <c r="M59" s="59">
        <f t="shared" si="25"/>
        <v>1060.8</v>
      </c>
      <c r="N59" s="59">
        <f t="shared" si="25"/>
        <v>1060.8</v>
      </c>
      <c r="O59" s="34"/>
      <c r="P59" s="34"/>
    </row>
    <row r="60" spans="2:31" x14ac:dyDescent="0.25">
      <c r="B60" s="34" t="s">
        <v>79</v>
      </c>
      <c r="C60" s="34">
        <f t="shared" ref="C60:N60" si="26">C15</f>
        <v>318.24</v>
      </c>
      <c r="D60" s="34">
        <f t="shared" si="26"/>
        <v>318.24</v>
      </c>
      <c r="E60" s="34">
        <f t="shared" si="26"/>
        <v>318.24</v>
      </c>
      <c r="F60" s="34">
        <f t="shared" si="26"/>
        <v>318.24</v>
      </c>
      <c r="G60" s="34">
        <f t="shared" si="26"/>
        <v>318.24</v>
      </c>
      <c r="H60" s="34">
        <f t="shared" si="26"/>
        <v>318.24</v>
      </c>
      <c r="I60" s="34">
        <f t="shared" si="26"/>
        <v>318.24</v>
      </c>
      <c r="J60" s="34">
        <f t="shared" si="26"/>
        <v>318.24</v>
      </c>
      <c r="K60" s="34">
        <f t="shared" si="26"/>
        <v>318.24</v>
      </c>
      <c r="L60" s="34">
        <f t="shared" si="26"/>
        <v>318.24</v>
      </c>
      <c r="M60" s="34">
        <f t="shared" si="26"/>
        <v>318.24</v>
      </c>
      <c r="N60" s="34">
        <f t="shared" si="26"/>
        <v>318.24</v>
      </c>
      <c r="O60" s="34"/>
      <c r="P60" s="34"/>
    </row>
    <row r="61" spans="2:31" x14ac:dyDescent="0.25">
      <c r="B61" s="34" t="s">
        <v>86</v>
      </c>
      <c r="C61" s="34">
        <f t="shared" ref="C61:N61" si="27">C24</f>
        <v>1420</v>
      </c>
      <c r="D61" s="34">
        <f t="shared" si="27"/>
        <v>1420</v>
      </c>
      <c r="E61" s="34">
        <f t="shared" si="27"/>
        <v>1420</v>
      </c>
      <c r="F61" s="34">
        <f t="shared" si="27"/>
        <v>1420</v>
      </c>
      <c r="G61" s="34">
        <f t="shared" si="27"/>
        <v>1420</v>
      </c>
      <c r="H61" s="34">
        <f t="shared" si="27"/>
        <v>1420</v>
      </c>
      <c r="I61" s="34">
        <f t="shared" si="27"/>
        <v>1420</v>
      </c>
      <c r="J61" s="34">
        <f t="shared" si="27"/>
        <v>1420</v>
      </c>
      <c r="K61" s="34">
        <f t="shared" si="27"/>
        <v>1420</v>
      </c>
      <c r="L61" s="34">
        <f t="shared" si="27"/>
        <v>1420</v>
      </c>
      <c r="M61" s="34">
        <f t="shared" si="27"/>
        <v>1420</v>
      </c>
      <c r="N61" s="34">
        <f t="shared" si="27"/>
        <v>1420</v>
      </c>
      <c r="O61" s="34"/>
      <c r="P61" s="34"/>
    </row>
    <row r="62" spans="2:31" x14ac:dyDescent="0.25">
      <c r="B62" s="59" t="s">
        <v>113</v>
      </c>
      <c r="C62" s="59">
        <f t="shared" ref="C62:N62" si="28">C51</f>
        <v>4500</v>
      </c>
      <c r="D62" s="59">
        <f>D51</f>
        <v>0</v>
      </c>
      <c r="E62" s="59">
        <f t="shared" si="28"/>
        <v>0</v>
      </c>
      <c r="F62" s="59">
        <f t="shared" si="28"/>
        <v>0</v>
      </c>
      <c r="G62" s="59">
        <f t="shared" si="28"/>
        <v>0</v>
      </c>
      <c r="H62" s="59">
        <f t="shared" si="28"/>
        <v>0</v>
      </c>
      <c r="I62" s="59">
        <f t="shared" si="28"/>
        <v>0</v>
      </c>
      <c r="J62" s="59">
        <f t="shared" si="28"/>
        <v>0</v>
      </c>
      <c r="K62" s="59">
        <f t="shared" si="28"/>
        <v>0</v>
      </c>
      <c r="L62" s="59">
        <f t="shared" si="28"/>
        <v>0</v>
      </c>
      <c r="M62" s="59">
        <f t="shared" si="28"/>
        <v>0</v>
      </c>
      <c r="N62" s="59">
        <f t="shared" si="28"/>
        <v>0</v>
      </c>
      <c r="O62" s="34"/>
      <c r="P62" s="34"/>
    </row>
    <row r="63" spans="2:31" x14ac:dyDescent="0.25">
      <c r="B63" s="44" t="s">
        <v>117</v>
      </c>
      <c r="C63" s="42">
        <f t="shared" ref="C63:N63" si="29">C60+C61+C62</f>
        <v>6238.24</v>
      </c>
      <c r="D63" s="42">
        <f t="shared" si="29"/>
        <v>1738.24</v>
      </c>
      <c r="E63" s="42">
        <f t="shared" si="29"/>
        <v>1738.24</v>
      </c>
      <c r="F63" s="42">
        <f t="shared" si="29"/>
        <v>1738.24</v>
      </c>
      <c r="G63" s="42">
        <f t="shared" si="29"/>
        <v>1738.24</v>
      </c>
      <c r="H63" s="42">
        <f t="shared" si="29"/>
        <v>1738.24</v>
      </c>
      <c r="I63" s="42">
        <f t="shared" si="29"/>
        <v>1738.24</v>
      </c>
      <c r="J63" s="42">
        <f t="shared" si="29"/>
        <v>1738.24</v>
      </c>
      <c r="K63" s="42">
        <f t="shared" si="29"/>
        <v>1738.24</v>
      </c>
      <c r="L63" s="42">
        <f t="shared" si="29"/>
        <v>1738.24</v>
      </c>
      <c r="M63" s="42">
        <f t="shared" si="29"/>
        <v>1738.24</v>
      </c>
      <c r="N63" s="42">
        <f t="shared" si="29"/>
        <v>1738.24</v>
      </c>
      <c r="O63" s="34"/>
      <c r="P63" s="34"/>
    </row>
    <row r="64" spans="2:31" x14ac:dyDescent="0.25">
      <c r="B64" s="45" t="s">
        <v>118</v>
      </c>
      <c r="C64" s="43">
        <f t="shared" ref="C64:N64" si="30">C59-C63</f>
        <v>-5177.4399999999996</v>
      </c>
      <c r="D64" s="43">
        <f>D59-D63</f>
        <v>-677.44</v>
      </c>
      <c r="E64" s="43">
        <f t="shared" si="30"/>
        <v>-677.44</v>
      </c>
      <c r="F64" s="43">
        <f t="shared" si="30"/>
        <v>-677.44</v>
      </c>
      <c r="G64" s="43">
        <f t="shared" si="30"/>
        <v>-677.44</v>
      </c>
      <c r="H64" s="43">
        <f t="shared" si="30"/>
        <v>-677.44</v>
      </c>
      <c r="I64" s="43">
        <f t="shared" si="30"/>
        <v>-677.44</v>
      </c>
      <c r="J64" s="43">
        <f t="shared" si="30"/>
        <v>-677.44</v>
      </c>
      <c r="K64" s="43">
        <f t="shared" si="30"/>
        <v>-677.44</v>
      </c>
      <c r="L64" s="43">
        <f t="shared" si="30"/>
        <v>-677.44</v>
      </c>
      <c r="M64" s="43">
        <f t="shared" si="30"/>
        <v>-677.44</v>
      </c>
      <c r="N64" s="43">
        <f t="shared" si="30"/>
        <v>-677.44</v>
      </c>
      <c r="O64" s="34"/>
      <c r="P64" s="34"/>
    </row>
    <row r="65" spans="2:27" x14ac:dyDescent="0.25">
      <c r="B65" s="59" t="s">
        <v>81</v>
      </c>
      <c r="C65" s="59">
        <v>15000</v>
      </c>
      <c r="D65" s="59">
        <f t="shared" ref="D65:N65" si="31">C64</f>
        <v>-5177.4399999999996</v>
      </c>
      <c r="E65" s="59">
        <f t="shared" si="31"/>
        <v>-677.44</v>
      </c>
      <c r="F65" s="59">
        <f t="shared" si="31"/>
        <v>-677.44</v>
      </c>
      <c r="G65" s="59">
        <f t="shared" si="31"/>
        <v>-677.44</v>
      </c>
      <c r="H65" s="59">
        <f t="shared" si="31"/>
        <v>-677.44</v>
      </c>
      <c r="I65" s="59">
        <f t="shared" si="31"/>
        <v>-677.44</v>
      </c>
      <c r="J65" s="59">
        <f t="shared" si="31"/>
        <v>-677.44</v>
      </c>
      <c r="K65" s="59">
        <f t="shared" si="31"/>
        <v>-677.44</v>
      </c>
      <c r="L65" s="59">
        <f t="shared" si="31"/>
        <v>-677.44</v>
      </c>
      <c r="M65" s="59">
        <f t="shared" si="31"/>
        <v>-677.44</v>
      </c>
      <c r="N65" s="59">
        <f t="shared" si="31"/>
        <v>-677.44</v>
      </c>
      <c r="O65" s="60" t="s">
        <v>119</v>
      </c>
      <c r="P65" s="61">
        <f>N64</f>
        <v>-677.44</v>
      </c>
    </row>
    <row r="67" spans="2:27" ht="14.25" customHeight="1" x14ac:dyDescent="0.25"/>
    <row r="68" spans="2:27" ht="15" customHeight="1" x14ac:dyDescent="0.25">
      <c r="B68" s="288" t="s">
        <v>120</v>
      </c>
      <c r="C68" s="288"/>
      <c r="D68" s="288"/>
      <c r="E68" s="288"/>
      <c r="F68" s="288"/>
      <c r="G68" s="288"/>
      <c r="H68" s="288"/>
      <c r="I68" s="288"/>
      <c r="J68" s="288"/>
      <c r="K68" s="288"/>
      <c r="L68" s="288"/>
      <c r="M68" s="288"/>
      <c r="N68" s="288"/>
      <c r="O68" s="288"/>
      <c r="P68" s="288"/>
    </row>
    <row r="69" spans="2:27" x14ac:dyDescent="0.25">
      <c r="B69" s="213"/>
      <c r="C69" s="215" t="s">
        <v>50</v>
      </c>
      <c r="D69" s="215" t="s">
        <v>51</v>
      </c>
      <c r="E69" s="215" t="s">
        <v>52</v>
      </c>
      <c r="F69" s="215" t="s">
        <v>53</v>
      </c>
      <c r="G69" s="215" t="s">
        <v>54</v>
      </c>
      <c r="H69" s="215" t="s">
        <v>55</v>
      </c>
      <c r="I69" s="215" t="s">
        <v>56</v>
      </c>
      <c r="J69" s="215" t="s">
        <v>57</v>
      </c>
      <c r="K69" s="215" t="s">
        <v>58</v>
      </c>
      <c r="L69" s="215" t="s">
        <v>59</v>
      </c>
      <c r="M69" s="215" t="s">
        <v>60</v>
      </c>
      <c r="N69" s="215" t="s">
        <v>61</v>
      </c>
      <c r="O69" s="220" t="s">
        <v>62</v>
      </c>
      <c r="P69" s="221"/>
      <c r="S69" s="228" t="s">
        <v>63</v>
      </c>
      <c r="T69" s="229"/>
      <c r="V69" s="223" t="s">
        <v>228</v>
      </c>
      <c r="W69" s="224"/>
      <c r="X69" s="224"/>
      <c r="Y69" s="224"/>
      <c r="Z69" s="224"/>
      <c r="AA69" s="224"/>
    </row>
    <row r="70" spans="2:27" ht="30" x14ac:dyDescent="0.25">
      <c r="B70" s="214"/>
      <c r="C70" s="216"/>
      <c r="D70" s="216"/>
      <c r="E70" s="216"/>
      <c r="F70" s="216"/>
      <c r="G70" s="216"/>
      <c r="H70" s="216"/>
      <c r="I70" s="216"/>
      <c r="J70" s="216"/>
      <c r="K70" s="216"/>
      <c r="L70" s="216"/>
      <c r="M70" s="216"/>
      <c r="N70" s="216"/>
      <c r="O70" s="58" t="s">
        <v>64</v>
      </c>
      <c r="P70" s="58" t="s">
        <v>65</v>
      </c>
      <c r="S70" s="143" t="s">
        <v>1</v>
      </c>
      <c r="T70" s="21">
        <f>P5</f>
        <v>63648</v>
      </c>
      <c r="V70" s="144" t="s">
        <v>2</v>
      </c>
      <c r="W70" s="145" t="s">
        <v>3</v>
      </c>
      <c r="X70" s="145" t="s">
        <v>4</v>
      </c>
      <c r="Y70" s="145" t="s">
        <v>5</v>
      </c>
      <c r="Z70" s="146" t="s">
        <v>6</v>
      </c>
      <c r="AA70" s="147" t="s">
        <v>5</v>
      </c>
    </row>
    <row r="71" spans="2:27" x14ac:dyDescent="0.25">
      <c r="B71" s="35" t="s">
        <v>121</v>
      </c>
      <c r="C71" s="35">
        <f>'Bilan et CDR N'!I14</f>
        <v>78000</v>
      </c>
      <c r="D71" s="35">
        <f t="shared" ref="D71:N71" si="32">D8</f>
        <v>6364.8</v>
      </c>
      <c r="E71" s="35">
        <f t="shared" si="32"/>
        <v>6364.8</v>
      </c>
      <c r="F71" s="35">
        <f t="shared" si="32"/>
        <v>6364.8</v>
      </c>
      <c r="G71" s="35">
        <f t="shared" si="32"/>
        <v>6364.8</v>
      </c>
      <c r="H71" s="35">
        <f t="shared" si="32"/>
        <v>6364.8</v>
      </c>
      <c r="I71" s="35">
        <f t="shared" si="32"/>
        <v>6364.8</v>
      </c>
      <c r="J71" s="43">
        <f t="shared" si="32"/>
        <v>6364.8</v>
      </c>
      <c r="K71" s="35">
        <f t="shared" si="32"/>
        <v>6364.8</v>
      </c>
      <c r="L71" s="35">
        <f t="shared" si="32"/>
        <v>6364.8</v>
      </c>
      <c r="M71" s="35">
        <f t="shared" si="32"/>
        <v>6364.8</v>
      </c>
      <c r="N71" s="35">
        <f t="shared" si="32"/>
        <v>6364.8</v>
      </c>
      <c r="O71" s="34"/>
      <c r="P71" s="34"/>
      <c r="S71" s="143" t="s">
        <v>67</v>
      </c>
      <c r="T71" s="21">
        <v>0</v>
      </c>
      <c r="V71" s="148" t="s">
        <v>8</v>
      </c>
      <c r="W71" s="148"/>
      <c r="X71" s="148">
        <f>X73+X72</f>
        <v>49814.28571428571</v>
      </c>
      <c r="Y71" s="148"/>
      <c r="Z71" s="148" t="s">
        <v>9</v>
      </c>
      <c r="AA71" s="149"/>
    </row>
    <row r="72" spans="2:27" ht="30" x14ac:dyDescent="0.25">
      <c r="B72" s="34" t="s">
        <v>122</v>
      </c>
      <c r="C72" s="34"/>
      <c r="D72" s="34"/>
      <c r="E72" s="34">
        <f>E9</f>
        <v>30000</v>
      </c>
      <c r="F72" s="34"/>
      <c r="G72" s="34"/>
      <c r="H72" s="34">
        <v>1500</v>
      </c>
      <c r="I72" s="34"/>
      <c r="J72" s="34"/>
      <c r="K72" s="34"/>
      <c r="L72" s="34"/>
      <c r="M72" s="34"/>
      <c r="N72" s="34"/>
      <c r="O72" s="34"/>
      <c r="P72" s="34"/>
      <c r="S72" s="144" t="s">
        <v>10</v>
      </c>
      <c r="T72" s="131">
        <f>T70+T71</f>
        <v>63648</v>
      </c>
      <c r="V72" s="150" t="s">
        <v>11</v>
      </c>
      <c r="W72" s="150">
        <f>'Bilan et CDR N'!G7</f>
        <v>159000</v>
      </c>
      <c r="X72" s="150">
        <f>'Bilan et CDR N'!H7+P29*0.75</f>
        <v>16535.714285714286</v>
      </c>
      <c r="Y72" s="150">
        <f>W72-X72</f>
        <v>142464.28571428571</v>
      </c>
      <c r="Z72" s="150" t="s">
        <v>12</v>
      </c>
      <c r="AA72" s="151">
        <f>'Bilan et CDR N'!K7+'Hypothèse | 3 ans'!P9</f>
        <v>80000</v>
      </c>
    </row>
    <row r="73" spans="2:27" x14ac:dyDescent="0.25">
      <c r="B73" s="59" t="s">
        <v>123</v>
      </c>
      <c r="C73" s="59">
        <f t="shared" ref="C73:N73" si="33">C72+C71</f>
        <v>78000</v>
      </c>
      <c r="D73" s="59">
        <f t="shared" si="33"/>
        <v>6364.8</v>
      </c>
      <c r="E73" s="59">
        <f t="shared" si="33"/>
        <v>36364.800000000003</v>
      </c>
      <c r="F73" s="59">
        <f t="shared" si="33"/>
        <v>6364.8</v>
      </c>
      <c r="G73" s="59">
        <f t="shared" si="33"/>
        <v>6364.8</v>
      </c>
      <c r="H73" s="59">
        <f t="shared" si="33"/>
        <v>7864.8</v>
      </c>
      <c r="I73" s="59">
        <f t="shared" si="33"/>
        <v>6364.8</v>
      </c>
      <c r="J73" s="59">
        <f t="shared" si="33"/>
        <v>6364.8</v>
      </c>
      <c r="K73" s="59">
        <f t="shared" si="33"/>
        <v>6364.8</v>
      </c>
      <c r="L73" s="59">
        <f t="shared" si="33"/>
        <v>6364.8</v>
      </c>
      <c r="M73" s="59">
        <f t="shared" si="33"/>
        <v>6364.8</v>
      </c>
      <c r="N73" s="59">
        <f t="shared" si="33"/>
        <v>6364.8</v>
      </c>
      <c r="O73" s="34"/>
      <c r="P73" s="34"/>
      <c r="S73" s="143" t="s">
        <v>70</v>
      </c>
      <c r="T73" s="21">
        <f>P14</f>
        <v>19094.400000000005</v>
      </c>
      <c r="V73" s="150" t="s">
        <v>14</v>
      </c>
      <c r="W73" s="150">
        <f>P50+'Bilan et CDR N'!G8</f>
        <v>77500</v>
      </c>
      <c r="X73" s="150">
        <f>'Bilan et CDR N'!H8+P29*0.25</f>
        <v>33278.571428571428</v>
      </c>
      <c r="Y73" s="150">
        <f>W73-X73</f>
        <v>44221.428571428572</v>
      </c>
      <c r="Z73" s="150" t="s">
        <v>15</v>
      </c>
      <c r="AA73" s="151">
        <f>'Bilan et CDR N'!K8</f>
        <v>5000</v>
      </c>
    </row>
    <row r="74" spans="2:27" x14ac:dyDescent="0.25">
      <c r="B74" s="39" t="s">
        <v>124</v>
      </c>
      <c r="C74" s="41">
        <f t="shared" ref="C74:N74" si="34">C17</f>
        <v>25409.439999999999</v>
      </c>
      <c r="D74" s="41">
        <f t="shared" si="34"/>
        <v>1909.44</v>
      </c>
      <c r="E74" s="41">
        <f t="shared" si="34"/>
        <v>1909.44</v>
      </c>
      <c r="F74" s="41">
        <f t="shared" si="34"/>
        <v>1909.44</v>
      </c>
      <c r="G74" s="41">
        <f t="shared" si="34"/>
        <v>1909.44</v>
      </c>
      <c r="H74" s="41">
        <f t="shared" si="34"/>
        <v>1909.44</v>
      </c>
      <c r="I74" s="41">
        <f t="shared" si="34"/>
        <v>1909.44</v>
      </c>
      <c r="J74" s="41">
        <f t="shared" si="34"/>
        <v>1909.44</v>
      </c>
      <c r="K74" s="41">
        <f t="shared" si="34"/>
        <v>1909.44</v>
      </c>
      <c r="L74" s="41">
        <f t="shared" si="34"/>
        <v>1909.44</v>
      </c>
      <c r="M74" s="41">
        <f t="shared" si="34"/>
        <v>1909.44</v>
      </c>
      <c r="N74" s="41">
        <f t="shared" si="34"/>
        <v>1909.44</v>
      </c>
      <c r="O74" s="34"/>
      <c r="P74" s="34"/>
      <c r="S74" s="143" t="s">
        <v>73</v>
      </c>
      <c r="T74" s="21">
        <f>P23</f>
        <v>85200</v>
      </c>
      <c r="V74" s="148"/>
      <c r="W74" s="148"/>
      <c r="X74" s="148"/>
      <c r="Y74" s="148"/>
      <c r="Z74" s="150" t="s">
        <v>17</v>
      </c>
      <c r="AA74" s="151">
        <f>'Bilan et CDR N'!K9+'Bilan et CDR N'!C23</f>
        <v>22728</v>
      </c>
    </row>
    <row r="75" spans="2:27" x14ac:dyDescent="0.25">
      <c r="B75" s="35" t="s">
        <v>125</v>
      </c>
      <c r="C75" s="35">
        <f>'Bilan et CDR N'!$K$16/12</f>
        <v>375</v>
      </c>
      <c r="D75" s="35">
        <f>'Bilan et CDR N'!$K$16/12</f>
        <v>375</v>
      </c>
      <c r="E75" s="35">
        <f>'Bilan et CDR N'!$K$16/12</f>
        <v>375</v>
      </c>
      <c r="F75" s="35">
        <f>'Bilan et CDR N'!$K$16/12</f>
        <v>375</v>
      </c>
      <c r="G75" s="35">
        <f>'Bilan et CDR N'!$K$16/12</f>
        <v>375</v>
      </c>
      <c r="H75" s="35">
        <f>'Bilan et CDR N'!$K$16/12</f>
        <v>375</v>
      </c>
      <c r="I75" s="35">
        <f>'Bilan et CDR N'!$K$16/12</f>
        <v>375</v>
      </c>
      <c r="J75" s="35">
        <f>'Bilan et CDR N'!$K$16/12</f>
        <v>375</v>
      </c>
      <c r="K75" s="35">
        <f>'Bilan et CDR N'!$K$16/12</f>
        <v>375</v>
      </c>
      <c r="L75" s="35">
        <f>'Bilan et CDR N'!$K$16/12</f>
        <v>375</v>
      </c>
      <c r="M75" s="35">
        <f>'Bilan et CDR N'!$K$16/12</f>
        <v>375</v>
      </c>
      <c r="N75" s="35">
        <f>'Bilan et CDR N'!$K$16/12</f>
        <v>375</v>
      </c>
      <c r="O75" s="34"/>
      <c r="P75" s="34"/>
      <c r="S75" s="143" t="s">
        <v>18</v>
      </c>
      <c r="T75" s="21">
        <f>P39</f>
        <v>8200</v>
      </c>
      <c r="V75" s="150"/>
      <c r="W75" s="150"/>
      <c r="X75" s="150"/>
      <c r="Y75" s="150"/>
      <c r="Z75" s="150" t="s">
        <v>19</v>
      </c>
      <c r="AA75" s="151">
        <f>T87</f>
        <v>-498417.98571428569</v>
      </c>
    </row>
    <row r="76" spans="2:27" x14ac:dyDescent="0.25">
      <c r="B76" s="39" t="s">
        <v>126</v>
      </c>
      <c r="C76" s="41">
        <f t="shared" ref="C76:N76" si="35">C31</f>
        <v>25625</v>
      </c>
      <c r="D76" s="41">
        <f t="shared" si="35"/>
        <v>25625</v>
      </c>
      <c r="E76" s="41">
        <f t="shared" si="35"/>
        <v>25625</v>
      </c>
      <c r="F76" s="41">
        <f t="shared" si="35"/>
        <v>25625</v>
      </c>
      <c r="G76" s="41">
        <f t="shared" si="35"/>
        <v>25625</v>
      </c>
      <c r="H76" s="41">
        <f t="shared" si="35"/>
        <v>25625</v>
      </c>
      <c r="I76" s="41">
        <f t="shared" si="35"/>
        <v>25625</v>
      </c>
      <c r="J76" s="41">
        <f t="shared" si="35"/>
        <v>25625</v>
      </c>
      <c r="K76" s="41">
        <f t="shared" si="35"/>
        <v>25625</v>
      </c>
      <c r="L76" s="41">
        <f t="shared" si="35"/>
        <v>25625</v>
      </c>
      <c r="M76" s="41">
        <f t="shared" si="35"/>
        <v>25625</v>
      </c>
      <c r="N76" s="41">
        <f t="shared" si="35"/>
        <v>25625</v>
      </c>
      <c r="O76" s="34"/>
      <c r="P76" s="34"/>
      <c r="S76" s="143" t="s">
        <v>20</v>
      </c>
      <c r="T76" s="21">
        <f>P31</f>
        <v>307500</v>
      </c>
      <c r="V76" s="152"/>
      <c r="W76" s="153"/>
      <c r="Y76" s="153"/>
      <c r="Z76" s="151"/>
      <c r="AA76" s="149"/>
    </row>
    <row r="77" spans="2:27" x14ac:dyDescent="0.25">
      <c r="B77" s="35" t="s">
        <v>21</v>
      </c>
      <c r="C77" s="35">
        <f t="shared" ref="C77:N77" si="36">C33</f>
        <v>16000</v>
      </c>
      <c r="D77" s="35">
        <f t="shared" si="36"/>
        <v>10250</v>
      </c>
      <c r="E77" s="35">
        <f t="shared" si="36"/>
        <v>10250</v>
      </c>
      <c r="F77" s="35">
        <f t="shared" si="36"/>
        <v>10250</v>
      </c>
      <c r="G77" s="35">
        <f t="shared" si="36"/>
        <v>10250</v>
      </c>
      <c r="H77" s="35">
        <f t="shared" si="36"/>
        <v>10250</v>
      </c>
      <c r="I77" s="35">
        <f t="shared" si="36"/>
        <v>10250</v>
      </c>
      <c r="J77" s="35">
        <f t="shared" si="36"/>
        <v>10250</v>
      </c>
      <c r="K77" s="35">
        <f t="shared" si="36"/>
        <v>10250</v>
      </c>
      <c r="L77" s="35">
        <f t="shared" si="36"/>
        <v>10250</v>
      </c>
      <c r="M77" s="35">
        <f t="shared" si="36"/>
        <v>10250</v>
      </c>
      <c r="N77" s="35">
        <f t="shared" si="36"/>
        <v>10250</v>
      </c>
      <c r="O77" s="34"/>
      <c r="P77" s="34"/>
      <c r="S77" s="143" t="s">
        <v>21</v>
      </c>
      <c r="T77" s="21">
        <f>P32</f>
        <v>123000</v>
      </c>
      <c r="V77" s="148" t="s">
        <v>22</v>
      </c>
      <c r="W77" s="148"/>
      <c r="X77" s="148"/>
      <c r="Y77" s="148"/>
      <c r="Z77" s="148" t="s">
        <v>23</v>
      </c>
      <c r="AA77" s="149"/>
    </row>
    <row r="78" spans="2:27" ht="30" x14ac:dyDescent="0.25">
      <c r="B78" s="39" t="s">
        <v>102</v>
      </c>
      <c r="C78" s="41">
        <f t="shared" ref="C78:N78" si="37">C40</f>
        <v>0</v>
      </c>
      <c r="D78" s="41">
        <f t="shared" si="37"/>
        <v>0</v>
      </c>
      <c r="E78" s="41">
        <f t="shared" si="37"/>
        <v>0</v>
      </c>
      <c r="F78" s="41">
        <f t="shared" si="37"/>
        <v>0</v>
      </c>
      <c r="G78" s="41">
        <f t="shared" si="37"/>
        <v>0</v>
      </c>
      <c r="H78" s="41">
        <f t="shared" si="37"/>
        <v>0</v>
      </c>
      <c r="I78" s="41">
        <f t="shared" si="37"/>
        <v>0</v>
      </c>
      <c r="J78" s="41">
        <f t="shared" si="37"/>
        <v>0</v>
      </c>
      <c r="K78" s="41">
        <f t="shared" si="37"/>
        <v>0</v>
      </c>
      <c r="L78" s="41">
        <f t="shared" si="37"/>
        <v>8200</v>
      </c>
      <c r="M78" s="41">
        <f t="shared" si="37"/>
        <v>0</v>
      </c>
      <c r="N78" s="41">
        <f t="shared" si="37"/>
        <v>0</v>
      </c>
      <c r="O78" s="34"/>
      <c r="P78" s="34"/>
      <c r="S78" s="143" t="s">
        <v>75</v>
      </c>
      <c r="T78" s="21">
        <f>P29</f>
        <v>10714.285714285714</v>
      </c>
      <c r="V78" s="150" t="s">
        <v>25</v>
      </c>
      <c r="W78" s="150">
        <f>'Bilan et CDR N'!G13</f>
        <v>15000</v>
      </c>
      <c r="X78" s="150"/>
      <c r="Y78" s="150">
        <f>W78</f>
        <v>15000</v>
      </c>
      <c r="Z78" s="150" t="s">
        <v>26</v>
      </c>
      <c r="AA78" s="151">
        <f>'Bilan et CDR N'!K13-P42</f>
        <v>80000</v>
      </c>
    </row>
    <row r="79" spans="2:27" x14ac:dyDescent="0.25">
      <c r="B79" s="35" t="s">
        <v>127</v>
      </c>
      <c r="C79" s="35">
        <f t="shared" ref="C79:N79" si="38">C26</f>
        <v>8520</v>
      </c>
      <c r="D79" s="35">
        <f t="shared" si="38"/>
        <v>8520</v>
      </c>
      <c r="E79" s="35">
        <f t="shared" si="38"/>
        <v>8520</v>
      </c>
      <c r="F79" s="35">
        <f t="shared" si="38"/>
        <v>8520</v>
      </c>
      <c r="G79" s="35">
        <f t="shared" si="38"/>
        <v>8520</v>
      </c>
      <c r="H79" s="35">
        <f t="shared" si="38"/>
        <v>8520</v>
      </c>
      <c r="I79" s="35">
        <f t="shared" si="38"/>
        <v>8520</v>
      </c>
      <c r="J79" s="35">
        <f t="shared" si="38"/>
        <v>8520</v>
      </c>
      <c r="K79" s="35">
        <f t="shared" si="38"/>
        <v>8520</v>
      </c>
      <c r="L79" s="35">
        <f t="shared" si="38"/>
        <v>8520</v>
      </c>
      <c r="M79" s="35">
        <f t="shared" si="38"/>
        <v>8520</v>
      </c>
      <c r="N79" s="35">
        <f t="shared" si="38"/>
        <v>8520</v>
      </c>
      <c r="O79" s="34"/>
      <c r="P79" s="34"/>
      <c r="S79" s="144" t="s">
        <v>76</v>
      </c>
      <c r="T79" s="131">
        <f>SUM(T73:T78)</f>
        <v>553708.6857142857</v>
      </c>
      <c r="V79" s="150" t="s">
        <v>28</v>
      </c>
      <c r="W79" s="150">
        <f>P8</f>
        <v>6364.8</v>
      </c>
      <c r="X79" s="150"/>
      <c r="Y79" s="150">
        <f>W79</f>
        <v>6364.8</v>
      </c>
      <c r="Z79" s="150" t="s">
        <v>29</v>
      </c>
      <c r="AA79" s="151">
        <f>P17</f>
        <v>0</v>
      </c>
    </row>
    <row r="80" spans="2:27" x14ac:dyDescent="0.25">
      <c r="B80" s="39" t="s">
        <v>128</v>
      </c>
      <c r="C80" s="41">
        <f t="shared" ref="C80:N80" si="39">C44</f>
        <v>3683.3333333333335</v>
      </c>
      <c r="D80" s="41">
        <f t="shared" si="39"/>
        <v>3683.3333333333335</v>
      </c>
      <c r="E80" s="41">
        <f t="shared" si="39"/>
        <v>3683.3333333333335</v>
      </c>
      <c r="F80" s="41">
        <f t="shared" si="39"/>
        <v>3683.3333333333335</v>
      </c>
      <c r="G80" s="41">
        <f t="shared" si="39"/>
        <v>3683.3333333333335</v>
      </c>
      <c r="H80" s="41">
        <f t="shared" si="39"/>
        <v>3683.3333333333335</v>
      </c>
      <c r="I80" s="41">
        <f t="shared" si="39"/>
        <v>3683.3333333333335</v>
      </c>
      <c r="J80" s="41">
        <f t="shared" si="39"/>
        <v>3683.3333333333335</v>
      </c>
      <c r="K80" s="41">
        <f t="shared" si="39"/>
        <v>3683.3333333333335</v>
      </c>
      <c r="L80" s="41">
        <f t="shared" si="39"/>
        <v>3683.3333333333335</v>
      </c>
      <c r="M80" s="41">
        <f t="shared" si="39"/>
        <v>3683.3333333333335</v>
      </c>
      <c r="N80" s="41">
        <f t="shared" si="39"/>
        <v>3683.3333333333335</v>
      </c>
      <c r="O80" s="34"/>
      <c r="P80" s="34"/>
      <c r="S80" s="154" t="s">
        <v>30</v>
      </c>
      <c r="T80" s="155">
        <f>T72-T79</f>
        <v>-490060.6857142857</v>
      </c>
      <c r="V80" s="150" t="s">
        <v>34</v>
      </c>
      <c r="W80" s="150">
        <f>AE58</f>
        <v>-430755.93999999994</v>
      </c>
      <c r="X80" s="150"/>
      <c r="Y80" s="150">
        <f>W80</f>
        <v>-430755.93999999994</v>
      </c>
      <c r="Z80" s="150" t="s">
        <v>32</v>
      </c>
      <c r="AA80" s="151">
        <f>P65+P33</f>
        <v>9572.56</v>
      </c>
    </row>
    <row r="81" spans="2:27" x14ac:dyDescent="0.25">
      <c r="B81" s="35" t="s">
        <v>129</v>
      </c>
      <c r="C81" s="35">
        <f t="shared" ref="C81:N81" si="40">C52</f>
        <v>27000</v>
      </c>
      <c r="D81" s="35">
        <f t="shared" si="40"/>
        <v>0</v>
      </c>
      <c r="E81" s="35">
        <f t="shared" si="40"/>
        <v>0</v>
      </c>
      <c r="F81" s="35">
        <f t="shared" si="40"/>
        <v>0</v>
      </c>
      <c r="G81" s="35">
        <f t="shared" si="40"/>
        <v>0</v>
      </c>
      <c r="H81" s="35">
        <f t="shared" si="40"/>
        <v>0</v>
      </c>
      <c r="I81" s="35">
        <f t="shared" si="40"/>
        <v>0</v>
      </c>
      <c r="J81" s="35">
        <f t="shared" si="40"/>
        <v>0</v>
      </c>
      <c r="K81" s="35">
        <f t="shared" si="40"/>
        <v>0</v>
      </c>
      <c r="L81" s="35">
        <f t="shared" si="40"/>
        <v>0</v>
      </c>
      <c r="M81" s="35">
        <f t="shared" si="40"/>
        <v>0</v>
      </c>
      <c r="N81" s="35">
        <f t="shared" si="40"/>
        <v>0</v>
      </c>
      <c r="O81" s="34"/>
      <c r="P81" s="34"/>
      <c r="S81" s="144" t="s">
        <v>33</v>
      </c>
      <c r="T81" s="131">
        <v>0</v>
      </c>
      <c r="V81" s="150"/>
      <c r="W81" s="150"/>
      <c r="X81" s="150"/>
      <c r="Y81" s="150"/>
      <c r="Z81" s="150" t="s">
        <v>221</v>
      </c>
      <c r="AA81" s="151">
        <f>T51+U51</f>
        <v>59390</v>
      </c>
    </row>
    <row r="82" spans="2:27" x14ac:dyDescent="0.25">
      <c r="B82" s="39" t="s">
        <v>130</v>
      </c>
      <c r="C82" s="41">
        <f t="shared" ref="C82:N82" si="41">C65</f>
        <v>15000</v>
      </c>
      <c r="D82" s="41">
        <f t="shared" si="41"/>
        <v>-5177.4399999999996</v>
      </c>
      <c r="E82" s="41">
        <f t="shared" si="41"/>
        <v>-677.44</v>
      </c>
      <c r="F82" s="41">
        <f t="shared" si="41"/>
        <v>-677.44</v>
      </c>
      <c r="G82" s="41">
        <f t="shared" si="41"/>
        <v>-677.44</v>
      </c>
      <c r="H82" s="41">
        <f t="shared" si="41"/>
        <v>-677.44</v>
      </c>
      <c r="I82" s="41">
        <f t="shared" si="41"/>
        <v>-677.44</v>
      </c>
      <c r="J82" s="41">
        <f t="shared" si="41"/>
        <v>-677.44</v>
      </c>
      <c r="K82" s="41">
        <f t="shared" si="41"/>
        <v>-677.44</v>
      </c>
      <c r="L82" s="41">
        <f t="shared" si="41"/>
        <v>-677.44</v>
      </c>
      <c r="M82" s="41">
        <f t="shared" si="41"/>
        <v>-677.44</v>
      </c>
      <c r="N82" s="41">
        <f t="shared" si="41"/>
        <v>-677.44</v>
      </c>
      <c r="O82" s="34"/>
      <c r="P82" s="34"/>
      <c r="S82" s="143" t="s">
        <v>36</v>
      </c>
      <c r="T82" s="21">
        <f>P41+SUM(T54:AE54)</f>
        <v>8357.2999999999993</v>
      </c>
      <c r="V82" s="156" t="s">
        <v>38</v>
      </c>
      <c r="W82" s="156">
        <f>SUM(W72:W80)</f>
        <v>-172891.13999999996</v>
      </c>
      <c r="X82" s="156"/>
      <c r="Y82" s="156">
        <f>SUM(Y72:Y81)</f>
        <v>-222705.42571428567</v>
      </c>
      <c r="Z82" s="156" t="s">
        <v>39</v>
      </c>
      <c r="AA82" s="157">
        <f>SUM(AA72:AA81)</f>
        <v>-241727.42571428569</v>
      </c>
    </row>
    <row r="83" spans="2:27" x14ac:dyDescent="0.25">
      <c r="B83" s="59" t="s">
        <v>131</v>
      </c>
      <c r="C83" s="59">
        <f t="shared" ref="C83:N83" si="42">SUM(C74:C82)</f>
        <v>121612.77333333333</v>
      </c>
      <c r="D83" s="59">
        <f t="shared" si="42"/>
        <v>45185.333333333336</v>
      </c>
      <c r="E83" s="59">
        <f t="shared" si="42"/>
        <v>49685.333333333336</v>
      </c>
      <c r="F83" s="59">
        <f t="shared" si="42"/>
        <v>49685.333333333336</v>
      </c>
      <c r="G83" s="59">
        <f t="shared" si="42"/>
        <v>49685.333333333336</v>
      </c>
      <c r="H83" s="59">
        <f t="shared" si="42"/>
        <v>49685.333333333336</v>
      </c>
      <c r="I83" s="59">
        <f t="shared" si="42"/>
        <v>49685.333333333336</v>
      </c>
      <c r="J83" s="59">
        <f t="shared" si="42"/>
        <v>49685.333333333336</v>
      </c>
      <c r="K83" s="59">
        <f t="shared" si="42"/>
        <v>49685.333333333336</v>
      </c>
      <c r="L83" s="59">
        <f t="shared" si="42"/>
        <v>57885.333333333336</v>
      </c>
      <c r="M83" s="59">
        <f t="shared" si="42"/>
        <v>49685.333333333336</v>
      </c>
      <c r="N83" s="59">
        <f t="shared" si="42"/>
        <v>49685.333333333336</v>
      </c>
      <c r="O83" s="34"/>
      <c r="P83" s="34"/>
      <c r="S83" s="144" t="s">
        <v>37</v>
      </c>
      <c r="T83" s="131">
        <f>T82</f>
        <v>8357.2999999999993</v>
      </c>
      <c r="Z83" s="158" t="s">
        <v>42</v>
      </c>
      <c r="AA83" s="159">
        <f>Y82-AA82</f>
        <v>19022.000000000029</v>
      </c>
    </row>
    <row r="84" spans="2:27" x14ac:dyDescent="0.25">
      <c r="B84" s="59" t="s">
        <v>132</v>
      </c>
      <c r="C84" s="59">
        <f>'Bilan et CDR N'!I16</f>
        <v>6350</v>
      </c>
      <c r="D84" s="59">
        <f t="shared" ref="D84:N84" si="43">C86</f>
        <v>-37262.773333333331</v>
      </c>
      <c r="E84" s="59">
        <f t="shared" si="43"/>
        <v>-76083.306666666671</v>
      </c>
      <c r="F84" s="59">
        <f t="shared" si="43"/>
        <v>-89403.839999999997</v>
      </c>
      <c r="G84" s="59">
        <f t="shared" si="43"/>
        <v>-132724.37333333332</v>
      </c>
      <c r="H84" s="59">
        <f t="shared" si="43"/>
        <v>-176044.90666666665</v>
      </c>
      <c r="I84" s="59">
        <f t="shared" si="43"/>
        <v>-217865.43999999997</v>
      </c>
      <c r="J84" s="59">
        <f t="shared" si="43"/>
        <v>-261185.9733333333</v>
      </c>
      <c r="K84" s="59">
        <f t="shared" si="43"/>
        <v>-304506.50666666665</v>
      </c>
      <c r="L84" s="59">
        <f t="shared" si="43"/>
        <v>-347827.04</v>
      </c>
      <c r="M84" s="59">
        <f t="shared" si="43"/>
        <v>-399347.5733333333</v>
      </c>
      <c r="N84" s="59">
        <f t="shared" si="43"/>
        <v>-442668.10666666663</v>
      </c>
      <c r="O84" s="34"/>
      <c r="P84" s="34"/>
      <c r="S84" s="154" t="s">
        <v>40</v>
      </c>
      <c r="T84" s="155">
        <f>T81-T83</f>
        <v>-8357.2999999999993</v>
      </c>
    </row>
    <row r="85" spans="2:27" x14ac:dyDescent="0.25">
      <c r="B85" s="34" t="s">
        <v>133</v>
      </c>
      <c r="C85" s="34">
        <f t="shared" ref="C85:N85" si="44">C73-C83</f>
        <v>-43612.773333333331</v>
      </c>
      <c r="D85" s="34">
        <f t="shared" si="44"/>
        <v>-38820.533333333333</v>
      </c>
      <c r="E85" s="34">
        <f t="shared" si="44"/>
        <v>-13320.533333333333</v>
      </c>
      <c r="F85" s="34">
        <f t="shared" si="44"/>
        <v>-43320.533333333333</v>
      </c>
      <c r="G85" s="34">
        <f t="shared" si="44"/>
        <v>-43320.533333333333</v>
      </c>
      <c r="H85" s="34">
        <f t="shared" si="44"/>
        <v>-41820.533333333333</v>
      </c>
      <c r="I85" s="34">
        <f t="shared" si="44"/>
        <v>-43320.533333333333</v>
      </c>
      <c r="J85" s="34">
        <f t="shared" si="44"/>
        <v>-43320.533333333333</v>
      </c>
      <c r="K85" s="34">
        <f t="shared" si="44"/>
        <v>-43320.533333333333</v>
      </c>
      <c r="L85" s="34">
        <f t="shared" si="44"/>
        <v>-51520.533333333333</v>
      </c>
      <c r="M85" s="34">
        <f t="shared" si="44"/>
        <v>-43320.533333333333</v>
      </c>
      <c r="N85" s="34">
        <f t="shared" si="44"/>
        <v>-43320.533333333333</v>
      </c>
      <c r="O85" s="34"/>
      <c r="P85" s="34"/>
      <c r="S85" s="154" t="s">
        <v>43</v>
      </c>
      <c r="T85" s="155">
        <f>T80-(-T84)</f>
        <v>-498417.98571428569</v>
      </c>
    </row>
    <row r="86" spans="2:27" x14ac:dyDescent="0.25">
      <c r="B86" s="59" t="s">
        <v>134</v>
      </c>
      <c r="C86" s="59">
        <f t="shared" ref="C86:N86" si="45">C84+C85</f>
        <v>-37262.773333333331</v>
      </c>
      <c r="D86" s="59">
        <f t="shared" si="45"/>
        <v>-76083.306666666671</v>
      </c>
      <c r="E86" s="59">
        <f t="shared" si="45"/>
        <v>-89403.839999999997</v>
      </c>
      <c r="F86" s="59">
        <f t="shared" si="45"/>
        <v>-132724.37333333332</v>
      </c>
      <c r="G86" s="59">
        <f t="shared" si="45"/>
        <v>-176044.90666666665</v>
      </c>
      <c r="H86" s="59">
        <f t="shared" si="45"/>
        <v>-217865.43999999997</v>
      </c>
      <c r="I86" s="59">
        <f t="shared" si="45"/>
        <v>-261185.9733333333</v>
      </c>
      <c r="J86" s="59">
        <f t="shared" si="45"/>
        <v>-304506.50666666665</v>
      </c>
      <c r="K86" s="59">
        <f t="shared" si="45"/>
        <v>-347827.04</v>
      </c>
      <c r="L86" s="59">
        <f t="shared" si="45"/>
        <v>-399347.5733333333</v>
      </c>
      <c r="M86" s="59">
        <f t="shared" si="45"/>
        <v>-442668.10666666663</v>
      </c>
      <c r="N86" s="59">
        <f t="shared" si="45"/>
        <v>-485988.63999999996</v>
      </c>
      <c r="O86" s="60" t="s">
        <v>135</v>
      </c>
      <c r="P86" s="61">
        <f>N86</f>
        <v>-485988.63999999996</v>
      </c>
      <c r="S86" s="154" t="s">
        <v>45</v>
      </c>
      <c r="T86" s="21"/>
    </row>
    <row r="87" spans="2:27" x14ac:dyDescent="0.25">
      <c r="S87" s="160" t="s">
        <v>47</v>
      </c>
      <c r="T87" s="161">
        <f>T85</f>
        <v>-498417.98571428569</v>
      </c>
    </row>
    <row r="90" spans="2:27" ht="28.5" x14ac:dyDescent="0.45">
      <c r="B90" s="289" t="s">
        <v>136</v>
      </c>
      <c r="C90" s="289"/>
      <c r="D90" s="289"/>
      <c r="E90" s="289"/>
      <c r="F90" s="289"/>
      <c r="G90" s="289"/>
      <c r="H90" s="289"/>
      <c r="I90" s="289"/>
      <c r="J90" s="289"/>
      <c r="K90" s="289"/>
      <c r="L90" s="289"/>
      <c r="M90" s="289"/>
      <c r="N90" s="289"/>
      <c r="O90" s="289"/>
      <c r="P90" s="289"/>
    </row>
    <row r="92" spans="2:27" ht="15" customHeight="1" x14ac:dyDescent="0.25"/>
    <row r="93" spans="2:27" x14ac:dyDescent="0.25">
      <c r="B93" s="288" t="s">
        <v>137</v>
      </c>
      <c r="C93" s="288"/>
      <c r="D93" s="288"/>
      <c r="E93" s="288"/>
      <c r="F93" s="288"/>
      <c r="G93" s="288"/>
      <c r="H93" s="288"/>
      <c r="I93" s="288"/>
      <c r="J93" s="288"/>
      <c r="K93" s="288"/>
      <c r="L93" s="288"/>
      <c r="M93" s="288"/>
      <c r="N93" s="288"/>
      <c r="O93" s="288"/>
      <c r="P93" s="288"/>
    </row>
    <row r="94" spans="2:27" x14ac:dyDescent="0.25">
      <c r="B94" s="213"/>
      <c r="C94" s="215" t="s">
        <v>50</v>
      </c>
      <c r="D94" s="215" t="s">
        <v>51</v>
      </c>
      <c r="E94" s="215" t="s">
        <v>52</v>
      </c>
      <c r="F94" s="215" t="s">
        <v>53</v>
      </c>
      <c r="G94" s="215" t="s">
        <v>54</v>
      </c>
      <c r="H94" s="215" t="s">
        <v>55</v>
      </c>
      <c r="I94" s="215" t="s">
        <v>56</v>
      </c>
      <c r="J94" s="215" t="s">
        <v>57</v>
      </c>
      <c r="K94" s="215" t="s">
        <v>58</v>
      </c>
      <c r="L94" s="215" t="s">
        <v>59</v>
      </c>
      <c r="M94" s="215" t="s">
        <v>60</v>
      </c>
      <c r="N94" s="215" t="s">
        <v>61</v>
      </c>
      <c r="O94" s="220" t="s">
        <v>62</v>
      </c>
      <c r="P94" s="221"/>
    </row>
    <row r="95" spans="2:27" x14ac:dyDescent="0.25">
      <c r="B95" s="214"/>
      <c r="C95" s="216"/>
      <c r="D95" s="216"/>
      <c r="E95" s="216"/>
      <c r="F95" s="216"/>
      <c r="G95" s="216"/>
      <c r="H95" s="216"/>
      <c r="I95" s="216"/>
      <c r="J95" s="216"/>
      <c r="K95" s="216"/>
      <c r="L95" s="216"/>
      <c r="M95" s="216"/>
      <c r="N95" s="216"/>
      <c r="O95" s="58" t="s">
        <v>64</v>
      </c>
      <c r="P95" s="58" t="s">
        <v>65</v>
      </c>
    </row>
    <row r="96" spans="2:27" x14ac:dyDescent="0.25">
      <c r="B96" s="35" t="s">
        <v>66</v>
      </c>
      <c r="C96" s="35">
        <f>$P$5*1.03/12</f>
        <v>5463.12</v>
      </c>
      <c r="D96" s="35">
        <f t="shared" ref="D96:N96" si="46">$P$5*1.03/12</f>
        <v>5463.12</v>
      </c>
      <c r="E96" s="35">
        <f t="shared" si="46"/>
        <v>5463.12</v>
      </c>
      <c r="F96" s="35">
        <f t="shared" si="46"/>
        <v>5463.12</v>
      </c>
      <c r="G96" s="35">
        <f t="shared" si="46"/>
        <v>5463.12</v>
      </c>
      <c r="H96" s="35">
        <f t="shared" si="46"/>
        <v>5463.12</v>
      </c>
      <c r="I96" s="35">
        <f t="shared" si="46"/>
        <v>5463.12</v>
      </c>
      <c r="J96" s="35">
        <f t="shared" si="46"/>
        <v>5463.12</v>
      </c>
      <c r="K96" s="35">
        <f t="shared" si="46"/>
        <v>5463.12</v>
      </c>
      <c r="L96" s="35">
        <f t="shared" si="46"/>
        <v>5463.12</v>
      </c>
      <c r="M96" s="35">
        <f t="shared" si="46"/>
        <v>5463.12</v>
      </c>
      <c r="N96" s="35">
        <f t="shared" si="46"/>
        <v>5463.12</v>
      </c>
      <c r="O96" s="60" t="s">
        <v>1</v>
      </c>
      <c r="P96" s="61">
        <f>SUM(C96:N96)</f>
        <v>65557.440000000017</v>
      </c>
    </row>
    <row r="97" spans="2:16" x14ac:dyDescent="0.25">
      <c r="B97" s="34" t="s">
        <v>68</v>
      </c>
      <c r="C97" s="34">
        <f t="shared" ref="C97:N97" si="47">C96*20%</f>
        <v>1092.624</v>
      </c>
      <c r="D97" s="34">
        <f t="shared" si="47"/>
        <v>1092.624</v>
      </c>
      <c r="E97" s="34">
        <f t="shared" si="47"/>
        <v>1092.624</v>
      </c>
      <c r="F97" s="34">
        <f t="shared" si="47"/>
        <v>1092.624</v>
      </c>
      <c r="G97" s="34">
        <f t="shared" si="47"/>
        <v>1092.624</v>
      </c>
      <c r="H97" s="34">
        <f t="shared" si="47"/>
        <v>1092.624</v>
      </c>
      <c r="I97" s="34">
        <f t="shared" si="47"/>
        <v>1092.624</v>
      </c>
      <c r="J97" s="34">
        <f t="shared" si="47"/>
        <v>1092.624</v>
      </c>
      <c r="K97" s="34">
        <f t="shared" si="47"/>
        <v>1092.624</v>
      </c>
      <c r="L97" s="34">
        <f t="shared" si="47"/>
        <v>1092.624</v>
      </c>
      <c r="M97" s="34">
        <f t="shared" si="47"/>
        <v>1092.624</v>
      </c>
      <c r="N97" s="34">
        <f t="shared" si="47"/>
        <v>1092.624</v>
      </c>
      <c r="O97" s="34"/>
      <c r="P97" s="34"/>
    </row>
    <row r="98" spans="2:16" x14ac:dyDescent="0.25">
      <c r="B98" s="34" t="s">
        <v>69</v>
      </c>
      <c r="C98" s="34">
        <f t="shared" ref="C98:N98" si="48">C96+C97</f>
        <v>6555.7439999999997</v>
      </c>
      <c r="D98" s="34">
        <f t="shared" si="48"/>
        <v>6555.7439999999997</v>
      </c>
      <c r="E98" s="34">
        <f t="shared" si="48"/>
        <v>6555.7439999999997</v>
      </c>
      <c r="F98" s="34">
        <f t="shared" si="48"/>
        <v>6555.7439999999997</v>
      </c>
      <c r="G98" s="34">
        <f t="shared" si="48"/>
        <v>6555.7439999999997</v>
      </c>
      <c r="H98" s="34">
        <f t="shared" si="48"/>
        <v>6555.7439999999997</v>
      </c>
      <c r="I98" s="34">
        <f t="shared" si="48"/>
        <v>6555.7439999999997</v>
      </c>
      <c r="J98" s="34">
        <f t="shared" si="48"/>
        <v>6555.7439999999997</v>
      </c>
      <c r="K98" s="34">
        <f t="shared" si="48"/>
        <v>6555.7439999999997</v>
      </c>
      <c r="L98" s="34">
        <f t="shared" si="48"/>
        <v>6555.7439999999997</v>
      </c>
      <c r="M98" s="34">
        <f t="shared" si="48"/>
        <v>6555.7439999999997</v>
      </c>
      <c r="N98" s="34">
        <f t="shared" si="48"/>
        <v>6555.7439999999997</v>
      </c>
      <c r="O98" s="34"/>
      <c r="P98" s="34"/>
    </row>
    <row r="99" spans="2:16" x14ac:dyDescent="0.25">
      <c r="B99" s="59" t="s">
        <v>139</v>
      </c>
      <c r="C99" s="59">
        <f>P8</f>
        <v>6364.8</v>
      </c>
      <c r="D99" s="59">
        <f t="shared" ref="D99:N99" si="49">C98</f>
        <v>6555.7439999999997</v>
      </c>
      <c r="E99" s="59">
        <f t="shared" si="49"/>
        <v>6555.7439999999997</v>
      </c>
      <c r="F99" s="59">
        <f t="shared" si="49"/>
        <v>6555.7439999999997</v>
      </c>
      <c r="G99" s="59">
        <f t="shared" si="49"/>
        <v>6555.7439999999997</v>
      </c>
      <c r="H99" s="59">
        <f t="shared" si="49"/>
        <v>6555.7439999999997</v>
      </c>
      <c r="I99" s="59">
        <f t="shared" si="49"/>
        <v>6555.7439999999997</v>
      </c>
      <c r="J99" s="59">
        <f t="shared" si="49"/>
        <v>6555.7439999999997</v>
      </c>
      <c r="K99" s="59">
        <f t="shared" si="49"/>
        <v>6555.7439999999997</v>
      </c>
      <c r="L99" s="59">
        <f t="shared" si="49"/>
        <v>6555.7439999999997</v>
      </c>
      <c r="M99" s="59">
        <f t="shared" si="49"/>
        <v>6555.7439999999997</v>
      </c>
      <c r="N99" s="59">
        <f t="shared" si="49"/>
        <v>6555.7439999999997</v>
      </c>
      <c r="O99" s="60" t="s">
        <v>72</v>
      </c>
      <c r="P99" s="61">
        <f>N98</f>
        <v>6555.7439999999997</v>
      </c>
    </row>
    <row r="102" spans="2:16" x14ac:dyDescent="0.25">
      <c r="B102" s="288" t="s">
        <v>140</v>
      </c>
      <c r="C102" s="288"/>
      <c r="D102" s="288"/>
      <c r="E102" s="288"/>
      <c r="F102" s="288"/>
      <c r="G102" s="288"/>
      <c r="H102" s="288"/>
      <c r="I102" s="288"/>
      <c r="J102" s="288"/>
      <c r="K102" s="288"/>
      <c r="L102" s="288"/>
      <c r="M102" s="288"/>
      <c r="N102" s="288"/>
      <c r="O102" s="288"/>
      <c r="P102" s="288"/>
    </row>
    <row r="103" spans="2:16" x14ac:dyDescent="0.25">
      <c r="B103" s="213"/>
      <c r="C103" s="215" t="s">
        <v>50</v>
      </c>
      <c r="D103" s="215" t="s">
        <v>51</v>
      </c>
      <c r="E103" s="215" t="s">
        <v>52</v>
      </c>
      <c r="F103" s="215" t="s">
        <v>53</v>
      </c>
      <c r="G103" s="215" t="s">
        <v>54</v>
      </c>
      <c r="H103" s="215" t="s">
        <v>55</v>
      </c>
      <c r="I103" s="215" t="s">
        <v>56</v>
      </c>
      <c r="J103" s="215" t="s">
        <v>57</v>
      </c>
      <c r="K103" s="215" t="s">
        <v>58</v>
      </c>
      <c r="L103" s="215" t="s">
        <v>59</v>
      </c>
      <c r="M103" s="215" t="s">
        <v>60</v>
      </c>
      <c r="N103" s="215" t="s">
        <v>61</v>
      </c>
      <c r="O103" s="220" t="s">
        <v>62</v>
      </c>
      <c r="P103" s="221"/>
    </row>
    <row r="104" spans="2:16" x14ac:dyDescent="0.25">
      <c r="B104" s="214"/>
      <c r="C104" s="216"/>
      <c r="D104" s="216"/>
      <c r="E104" s="216"/>
      <c r="F104" s="216"/>
      <c r="G104" s="216"/>
      <c r="H104" s="216"/>
      <c r="I104" s="216"/>
      <c r="J104" s="216"/>
      <c r="K104" s="216"/>
      <c r="L104" s="216"/>
      <c r="M104" s="216"/>
      <c r="N104" s="216"/>
      <c r="O104" s="58" t="s">
        <v>64</v>
      </c>
      <c r="P104" s="58" t="s">
        <v>65</v>
      </c>
    </row>
    <row r="105" spans="2:16" x14ac:dyDescent="0.25">
      <c r="B105" s="35" t="s">
        <v>77</v>
      </c>
      <c r="C105" s="35">
        <f t="shared" ref="C105:N105" si="50">C96*32%</f>
        <v>1748.1984</v>
      </c>
      <c r="D105" s="35">
        <f t="shared" si="50"/>
        <v>1748.1984</v>
      </c>
      <c r="E105" s="35">
        <f t="shared" si="50"/>
        <v>1748.1984</v>
      </c>
      <c r="F105" s="35">
        <f t="shared" si="50"/>
        <v>1748.1984</v>
      </c>
      <c r="G105" s="35">
        <f t="shared" si="50"/>
        <v>1748.1984</v>
      </c>
      <c r="H105" s="35">
        <f t="shared" si="50"/>
        <v>1748.1984</v>
      </c>
      <c r="I105" s="35">
        <f t="shared" si="50"/>
        <v>1748.1984</v>
      </c>
      <c r="J105" s="35">
        <f t="shared" si="50"/>
        <v>1748.1984</v>
      </c>
      <c r="K105" s="35">
        <f t="shared" si="50"/>
        <v>1748.1984</v>
      </c>
      <c r="L105" s="35">
        <f t="shared" si="50"/>
        <v>1748.1984</v>
      </c>
      <c r="M105" s="35">
        <f t="shared" si="50"/>
        <v>1748.1984</v>
      </c>
      <c r="N105" s="35">
        <f t="shared" si="50"/>
        <v>1748.1984</v>
      </c>
      <c r="O105" s="60" t="s">
        <v>78</v>
      </c>
      <c r="P105" s="61">
        <f>SUM(C105:N105)</f>
        <v>20978.380799999999</v>
      </c>
    </row>
    <row r="106" spans="2:16" x14ac:dyDescent="0.25">
      <c r="B106" s="34" t="s">
        <v>79</v>
      </c>
      <c r="C106" s="34">
        <f t="shared" ref="C106:N106" si="51">C105*20%</f>
        <v>349.63968</v>
      </c>
      <c r="D106" s="34">
        <f t="shared" si="51"/>
        <v>349.63968</v>
      </c>
      <c r="E106" s="34">
        <f t="shared" si="51"/>
        <v>349.63968</v>
      </c>
      <c r="F106" s="34">
        <f t="shared" si="51"/>
        <v>349.63968</v>
      </c>
      <c r="G106" s="34">
        <f t="shared" si="51"/>
        <v>349.63968</v>
      </c>
      <c r="H106" s="34">
        <f t="shared" si="51"/>
        <v>349.63968</v>
      </c>
      <c r="I106" s="34">
        <f t="shared" si="51"/>
        <v>349.63968</v>
      </c>
      <c r="J106" s="34">
        <f t="shared" si="51"/>
        <v>349.63968</v>
      </c>
      <c r="K106" s="34">
        <f t="shared" si="51"/>
        <v>349.63968</v>
      </c>
      <c r="L106" s="34">
        <f t="shared" si="51"/>
        <v>349.63968</v>
      </c>
      <c r="M106" s="34">
        <f t="shared" si="51"/>
        <v>349.63968</v>
      </c>
      <c r="N106" s="34">
        <f t="shared" si="51"/>
        <v>349.63968</v>
      </c>
      <c r="O106" s="34"/>
      <c r="P106" s="34"/>
    </row>
    <row r="107" spans="2:16" x14ac:dyDescent="0.25">
      <c r="B107" s="34" t="s">
        <v>80</v>
      </c>
      <c r="C107" s="34">
        <f t="shared" ref="C107:N107" si="52">C105+C106</f>
        <v>2097.83808</v>
      </c>
      <c r="D107" s="34">
        <f t="shared" si="52"/>
        <v>2097.83808</v>
      </c>
      <c r="E107" s="34">
        <f t="shared" si="52"/>
        <v>2097.83808</v>
      </c>
      <c r="F107" s="34">
        <f t="shared" si="52"/>
        <v>2097.83808</v>
      </c>
      <c r="G107" s="34">
        <f t="shared" si="52"/>
        <v>2097.83808</v>
      </c>
      <c r="H107" s="34">
        <f t="shared" si="52"/>
        <v>2097.83808</v>
      </c>
      <c r="I107" s="34">
        <f t="shared" si="52"/>
        <v>2097.83808</v>
      </c>
      <c r="J107" s="34">
        <f t="shared" si="52"/>
        <v>2097.83808</v>
      </c>
      <c r="K107" s="34">
        <f t="shared" si="52"/>
        <v>2097.83808</v>
      </c>
      <c r="L107" s="34">
        <f t="shared" si="52"/>
        <v>2097.83808</v>
      </c>
      <c r="M107" s="34">
        <f t="shared" si="52"/>
        <v>2097.83808</v>
      </c>
      <c r="N107" s="34">
        <f t="shared" si="52"/>
        <v>2097.83808</v>
      </c>
      <c r="O107" s="34"/>
      <c r="P107" s="34"/>
    </row>
    <row r="108" spans="2:16" x14ac:dyDescent="0.25">
      <c r="B108" s="59" t="s">
        <v>81</v>
      </c>
      <c r="C108" s="59">
        <f t="shared" ref="C108:N108" si="53">C107</f>
        <v>2097.83808</v>
      </c>
      <c r="D108" s="59">
        <f t="shared" si="53"/>
        <v>2097.83808</v>
      </c>
      <c r="E108" s="59">
        <f t="shared" si="53"/>
        <v>2097.83808</v>
      </c>
      <c r="F108" s="59">
        <f t="shared" si="53"/>
        <v>2097.83808</v>
      </c>
      <c r="G108" s="59">
        <f t="shared" si="53"/>
        <v>2097.83808</v>
      </c>
      <c r="H108" s="59">
        <f t="shared" si="53"/>
        <v>2097.83808</v>
      </c>
      <c r="I108" s="59">
        <f t="shared" si="53"/>
        <v>2097.83808</v>
      </c>
      <c r="J108" s="59">
        <f t="shared" si="53"/>
        <v>2097.83808</v>
      </c>
      <c r="K108" s="59">
        <f t="shared" si="53"/>
        <v>2097.83808</v>
      </c>
      <c r="L108" s="59">
        <f t="shared" si="53"/>
        <v>2097.83808</v>
      </c>
      <c r="M108" s="59">
        <f t="shared" si="53"/>
        <v>2097.83808</v>
      </c>
      <c r="N108" s="59">
        <f t="shared" si="53"/>
        <v>2097.83808</v>
      </c>
      <c r="O108" s="60" t="s">
        <v>82</v>
      </c>
      <c r="P108" s="61">
        <v>0</v>
      </c>
    </row>
    <row r="111" spans="2:16" x14ac:dyDescent="0.25">
      <c r="B111" s="288" t="s">
        <v>142</v>
      </c>
      <c r="C111" s="288"/>
      <c r="D111" s="288"/>
      <c r="E111" s="288"/>
      <c r="F111" s="288"/>
      <c r="G111" s="288"/>
      <c r="H111" s="288"/>
      <c r="I111" s="288"/>
      <c r="J111" s="288"/>
      <c r="K111" s="288"/>
      <c r="L111" s="288"/>
      <c r="M111" s="288"/>
      <c r="N111" s="288"/>
      <c r="O111" s="288"/>
      <c r="P111" s="288"/>
    </row>
    <row r="112" spans="2:16" x14ac:dyDescent="0.25">
      <c r="B112" s="213"/>
      <c r="C112" s="215" t="s">
        <v>50</v>
      </c>
      <c r="D112" s="215" t="s">
        <v>51</v>
      </c>
      <c r="E112" s="215" t="s">
        <v>52</v>
      </c>
      <c r="F112" s="215" t="s">
        <v>53</v>
      </c>
      <c r="G112" s="215" t="s">
        <v>54</v>
      </c>
      <c r="H112" s="215" t="s">
        <v>55</v>
      </c>
      <c r="I112" s="215" t="s">
        <v>56</v>
      </c>
      <c r="J112" s="215" t="s">
        <v>57</v>
      </c>
      <c r="K112" s="215" t="s">
        <v>58</v>
      </c>
      <c r="L112" s="215" t="s">
        <v>59</v>
      </c>
      <c r="M112" s="215" t="s">
        <v>60</v>
      </c>
      <c r="N112" s="215" t="s">
        <v>61</v>
      </c>
      <c r="O112" s="220" t="s">
        <v>62</v>
      </c>
      <c r="P112" s="221"/>
    </row>
    <row r="113" spans="2:16" x14ac:dyDescent="0.25">
      <c r="B113" s="214"/>
      <c r="C113" s="216"/>
      <c r="D113" s="216"/>
      <c r="E113" s="216"/>
      <c r="F113" s="216"/>
      <c r="G113" s="216"/>
      <c r="H113" s="216"/>
      <c r="I113" s="216"/>
      <c r="J113" s="216"/>
      <c r="K113" s="216"/>
      <c r="L113" s="216"/>
      <c r="M113" s="216"/>
      <c r="N113" s="216"/>
      <c r="O113" s="58" t="s">
        <v>64</v>
      </c>
      <c r="P113" s="58" t="s">
        <v>65</v>
      </c>
    </row>
    <row r="114" spans="2:16" x14ac:dyDescent="0.25">
      <c r="B114" s="21" t="s">
        <v>84</v>
      </c>
      <c r="C114" s="21">
        <v>7100</v>
      </c>
      <c r="D114" s="21">
        <v>7100</v>
      </c>
      <c r="E114" s="21">
        <v>7100</v>
      </c>
      <c r="F114" s="21">
        <v>7100</v>
      </c>
      <c r="G114" s="21">
        <v>7100</v>
      </c>
      <c r="H114" s="21">
        <v>7100</v>
      </c>
      <c r="I114" s="21">
        <v>7100</v>
      </c>
      <c r="J114" s="21">
        <v>7100</v>
      </c>
      <c r="K114" s="21">
        <v>7100</v>
      </c>
      <c r="L114" s="21">
        <v>7100</v>
      </c>
      <c r="M114" s="21">
        <v>7100</v>
      </c>
      <c r="N114" s="22">
        <v>7100</v>
      </c>
      <c r="O114" s="60" t="s">
        <v>85</v>
      </c>
      <c r="P114" s="61">
        <f>SUM(C114:N114)</f>
        <v>85200</v>
      </c>
    </row>
    <row r="115" spans="2:16" x14ac:dyDescent="0.25">
      <c r="B115" s="21" t="s">
        <v>86</v>
      </c>
      <c r="C115" s="21">
        <f t="shared" ref="C115:N115" si="54">C114*20%</f>
        <v>1420</v>
      </c>
      <c r="D115" s="21">
        <f t="shared" si="54"/>
        <v>1420</v>
      </c>
      <c r="E115" s="21">
        <f t="shared" si="54"/>
        <v>1420</v>
      </c>
      <c r="F115" s="21">
        <f t="shared" si="54"/>
        <v>1420</v>
      </c>
      <c r="G115" s="21">
        <f t="shared" si="54"/>
        <v>1420</v>
      </c>
      <c r="H115" s="21">
        <f t="shared" si="54"/>
        <v>1420</v>
      </c>
      <c r="I115" s="21">
        <f t="shared" si="54"/>
        <v>1420</v>
      </c>
      <c r="J115" s="21">
        <f t="shared" si="54"/>
        <v>1420</v>
      </c>
      <c r="K115" s="21">
        <f t="shared" si="54"/>
        <v>1420</v>
      </c>
      <c r="L115" s="21">
        <f t="shared" si="54"/>
        <v>1420</v>
      </c>
      <c r="M115" s="21">
        <f t="shared" si="54"/>
        <v>1420</v>
      </c>
      <c r="N115" s="22">
        <f t="shared" si="54"/>
        <v>1420</v>
      </c>
      <c r="O115" s="47"/>
      <c r="P115" s="48"/>
    </row>
    <row r="116" spans="2:16" x14ac:dyDescent="0.25">
      <c r="B116" s="23" t="s">
        <v>87</v>
      </c>
      <c r="C116" s="23">
        <f t="shared" ref="C116:N116" si="55">C114+C115</f>
        <v>8520</v>
      </c>
      <c r="D116" s="23">
        <f t="shared" si="55"/>
        <v>8520</v>
      </c>
      <c r="E116" s="23">
        <f t="shared" si="55"/>
        <v>8520</v>
      </c>
      <c r="F116" s="23">
        <f t="shared" si="55"/>
        <v>8520</v>
      </c>
      <c r="G116" s="23">
        <f t="shared" si="55"/>
        <v>8520</v>
      </c>
      <c r="H116" s="23">
        <f t="shared" si="55"/>
        <v>8520</v>
      </c>
      <c r="I116" s="23">
        <f t="shared" si="55"/>
        <v>8520</v>
      </c>
      <c r="J116" s="23">
        <f t="shared" si="55"/>
        <v>8520</v>
      </c>
      <c r="K116" s="23">
        <f t="shared" si="55"/>
        <v>8520</v>
      </c>
      <c r="L116" s="23">
        <f t="shared" si="55"/>
        <v>8520</v>
      </c>
      <c r="M116" s="23">
        <f t="shared" si="55"/>
        <v>8520</v>
      </c>
      <c r="N116" s="25">
        <f t="shared" si="55"/>
        <v>8520</v>
      </c>
      <c r="O116" s="34"/>
      <c r="P116" s="34"/>
    </row>
    <row r="117" spans="2:16" x14ac:dyDescent="0.25">
      <c r="B117" s="59" t="s">
        <v>81</v>
      </c>
      <c r="C117" s="59">
        <f t="shared" ref="C117:N117" si="56">+C114+C115</f>
        <v>8520</v>
      </c>
      <c r="D117" s="59">
        <f t="shared" si="56"/>
        <v>8520</v>
      </c>
      <c r="E117" s="59">
        <f t="shared" si="56"/>
        <v>8520</v>
      </c>
      <c r="F117" s="59">
        <f t="shared" si="56"/>
        <v>8520</v>
      </c>
      <c r="G117" s="59">
        <f t="shared" si="56"/>
        <v>8520</v>
      </c>
      <c r="H117" s="59">
        <f t="shared" si="56"/>
        <v>8520</v>
      </c>
      <c r="I117" s="59">
        <f t="shared" si="56"/>
        <v>8520</v>
      </c>
      <c r="J117" s="59">
        <f t="shared" si="56"/>
        <v>8520</v>
      </c>
      <c r="K117" s="59">
        <f t="shared" si="56"/>
        <v>8520</v>
      </c>
      <c r="L117" s="59">
        <f t="shared" si="56"/>
        <v>8520</v>
      </c>
      <c r="M117" s="59">
        <f t="shared" si="56"/>
        <v>8520</v>
      </c>
      <c r="N117" s="59">
        <f t="shared" si="56"/>
        <v>8520</v>
      </c>
      <c r="O117" s="47"/>
      <c r="P117" s="34"/>
    </row>
    <row r="118" spans="2:16" x14ac:dyDescent="0.25">
      <c r="B118" s="28" t="s">
        <v>89</v>
      </c>
      <c r="C118" s="21"/>
      <c r="D118" s="21"/>
      <c r="E118" s="21"/>
      <c r="F118" s="21"/>
      <c r="G118" s="21"/>
      <c r="H118" s="21"/>
      <c r="I118" s="21"/>
      <c r="J118" s="21"/>
      <c r="K118" s="21"/>
      <c r="L118" s="21"/>
      <c r="M118" s="21"/>
      <c r="N118" s="22">
        <v>7500</v>
      </c>
      <c r="O118" s="47"/>
      <c r="P118" s="48"/>
    </row>
    <row r="119" spans="2:16" x14ac:dyDescent="0.25">
      <c r="B119" s="26" t="s">
        <v>144</v>
      </c>
      <c r="C119" s="27"/>
      <c r="D119" s="21"/>
      <c r="E119" s="21"/>
      <c r="F119" s="21"/>
      <c r="G119" s="21"/>
      <c r="H119" s="21"/>
      <c r="I119" s="21"/>
      <c r="J119" s="21"/>
      <c r="K119" s="21"/>
      <c r="L119" s="21"/>
      <c r="M119" s="21"/>
      <c r="N119" s="22">
        <f>Emprunt!K5</f>
        <v>3214.2857142857142</v>
      </c>
      <c r="O119" s="195" t="s">
        <v>90</v>
      </c>
      <c r="P119" s="196">
        <f>Emprunt!K5</f>
        <v>3214.2857142857142</v>
      </c>
    </row>
    <row r="120" spans="2:16" x14ac:dyDescent="0.25">
      <c r="B120" s="29" t="s">
        <v>145</v>
      </c>
      <c r="C120" s="21"/>
      <c r="D120" s="21"/>
      <c r="E120" s="21"/>
      <c r="F120" s="21"/>
      <c r="G120" s="21"/>
      <c r="H120" s="21"/>
      <c r="I120" s="21"/>
      <c r="J120" s="21"/>
      <c r="K120" s="21"/>
      <c r="L120" s="21"/>
      <c r="M120" s="21"/>
      <c r="N120" s="22">
        <f>Emprunt!K14</f>
        <v>991.66666666666674</v>
      </c>
      <c r="O120" s="195" t="s">
        <v>90</v>
      </c>
      <c r="P120" s="196">
        <f>N120</f>
        <v>991.66666666666674</v>
      </c>
    </row>
    <row r="121" spans="2:16" x14ac:dyDescent="0.25">
      <c r="B121" s="59" t="s">
        <v>94</v>
      </c>
      <c r="C121" s="59">
        <f t="shared" ref="C121:M121" si="57">C118+C119</f>
        <v>0</v>
      </c>
      <c r="D121" s="59">
        <f t="shared" si="57"/>
        <v>0</v>
      </c>
      <c r="E121" s="59">
        <f t="shared" si="57"/>
        <v>0</v>
      </c>
      <c r="F121" s="59">
        <f t="shared" si="57"/>
        <v>0</v>
      </c>
      <c r="G121" s="59">
        <f t="shared" si="57"/>
        <v>0</v>
      </c>
      <c r="H121" s="59">
        <f t="shared" si="57"/>
        <v>0</v>
      </c>
      <c r="I121" s="59">
        <f t="shared" si="57"/>
        <v>0</v>
      </c>
      <c r="J121" s="59">
        <f t="shared" si="57"/>
        <v>0</v>
      </c>
      <c r="K121" s="59">
        <f t="shared" si="57"/>
        <v>0</v>
      </c>
      <c r="L121" s="59">
        <f t="shared" si="57"/>
        <v>0</v>
      </c>
      <c r="M121" s="59">
        <f t="shared" si="57"/>
        <v>0</v>
      </c>
      <c r="N121" s="59">
        <f>N118+N119+N120</f>
        <v>11705.95238095238</v>
      </c>
      <c r="O121" s="60" t="s">
        <v>93</v>
      </c>
      <c r="P121" s="61">
        <f>SUM(C121:N121)</f>
        <v>11705.95238095238</v>
      </c>
    </row>
    <row r="122" spans="2:16" x14ac:dyDescent="0.25">
      <c r="B122" s="21" t="s">
        <v>95</v>
      </c>
      <c r="C122" s="21">
        <f t="shared" ref="C122:N122" si="58">307500/12</f>
        <v>25625</v>
      </c>
      <c r="D122" s="21">
        <f t="shared" si="58"/>
        <v>25625</v>
      </c>
      <c r="E122" s="21">
        <f t="shared" si="58"/>
        <v>25625</v>
      </c>
      <c r="F122" s="21">
        <f t="shared" si="58"/>
        <v>25625</v>
      </c>
      <c r="G122" s="21">
        <f t="shared" si="58"/>
        <v>25625</v>
      </c>
      <c r="H122" s="21">
        <f t="shared" si="58"/>
        <v>25625</v>
      </c>
      <c r="I122" s="21">
        <f t="shared" si="58"/>
        <v>25625</v>
      </c>
      <c r="J122" s="21">
        <f t="shared" si="58"/>
        <v>25625</v>
      </c>
      <c r="K122" s="21">
        <f t="shared" si="58"/>
        <v>25625</v>
      </c>
      <c r="L122" s="21">
        <f t="shared" si="58"/>
        <v>25625</v>
      </c>
      <c r="M122" s="21">
        <f t="shared" si="58"/>
        <v>25625</v>
      </c>
      <c r="N122" s="22">
        <f t="shared" si="58"/>
        <v>25625</v>
      </c>
      <c r="O122" s="47"/>
      <c r="P122" s="48"/>
    </row>
    <row r="123" spans="2:16" x14ac:dyDescent="0.25">
      <c r="B123" s="59" t="s">
        <v>96</v>
      </c>
      <c r="C123" s="59">
        <f t="shared" ref="C123:N123" si="59">C122</f>
        <v>25625</v>
      </c>
      <c r="D123" s="59">
        <f t="shared" si="59"/>
        <v>25625</v>
      </c>
      <c r="E123" s="59">
        <f t="shared" si="59"/>
        <v>25625</v>
      </c>
      <c r="F123" s="59">
        <f t="shared" si="59"/>
        <v>25625</v>
      </c>
      <c r="G123" s="59">
        <f t="shared" si="59"/>
        <v>25625</v>
      </c>
      <c r="H123" s="59">
        <f t="shared" si="59"/>
        <v>25625</v>
      </c>
      <c r="I123" s="59">
        <f t="shared" si="59"/>
        <v>25625</v>
      </c>
      <c r="J123" s="59">
        <f t="shared" si="59"/>
        <v>25625</v>
      </c>
      <c r="K123" s="59">
        <f t="shared" si="59"/>
        <v>25625</v>
      </c>
      <c r="L123" s="59">
        <f t="shared" si="59"/>
        <v>25625</v>
      </c>
      <c r="M123" s="59">
        <f t="shared" si="59"/>
        <v>25625</v>
      </c>
      <c r="N123" s="59">
        <f t="shared" si="59"/>
        <v>25625</v>
      </c>
      <c r="O123" s="60" t="s">
        <v>97</v>
      </c>
      <c r="P123" s="61">
        <f>SUM(C123:N123)</f>
        <v>307500</v>
      </c>
    </row>
    <row r="124" spans="2:16" x14ac:dyDescent="0.25">
      <c r="B124" s="21" t="s">
        <v>21</v>
      </c>
      <c r="C124" s="21">
        <f t="shared" ref="C124:N124" si="60">C122*0.4</f>
        <v>10250</v>
      </c>
      <c r="D124" s="21">
        <f t="shared" si="60"/>
        <v>10250</v>
      </c>
      <c r="E124" s="21">
        <f t="shared" si="60"/>
        <v>10250</v>
      </c>
      <c r="F124" s="21">
        <f t="shared" si="60"/>
        <v>10250</v>
      </c>
      <c r="G124" s="21">
        <f t="shared" si="60"/>
        <v>10250</v>
      </c>
      <c r="H124" s="21">
        <f t="shared" si="60"/>
        <v>10250</v>
      </c>
      <c r="I124" s="21">
        <f t="shared" si="60"/>
        <v>10250</v>
      </c>
      <c r="J124" s="21">
        <f t="shared" si="60"/>
        <v>10250</v>
      </c>
      <c r="K124" s="21">
        <f t="shared" si="60"/>
        <v>10250</v>
      </c>
      <c r="L124" s="21">
        <f t="shared" si="60"/>
        <v>10250</v>
      </c>
      <c r="M124" s="21">
        <f t="shared" si="60"/>
        <v>10250</v>
      </c>
      <c r="N124" s="22">
        <f t="shared" si="60"/>
        <v>10250</v>
      </c>
      <c r="O124" s="60" t="s">
        <v>98</v>
      </c>
      <c r="P124" s="61">
        <f>SUM(C124:N124)</f>
        <v>123000</v>
      </c>
    </row>
    <row r="125" spans="2:16" x14ac:dyDescent="0.25">
      <c r="B125" s="59" t="s">
        <v>99</v>
      </c>
      <c r="C125" s="59">
        <f>'Budget Prev 3 années SANS PRECO'!P121</f>
        <v>10250</v>
      </c>
      <c r="D125" s="59">
        <f t="shared" ref="D125:N125" si="61">C124</f>
        <v>10250</v>
      </c>
      <c r="E125" s="59">
        <f t="shared" si="61"/>
        <v>10250</v>
      </c>
      <c r="F125" s="59">
        <f t="shared" si="61"/>
        <v>10250</v>
      </c>
      <c r="G125" s="59">
        <f t="shared" si="61"/>
        <v>10250</v>
      </c>
      <c r="H125" s="59">
        <f t="shared" si="61"/>
        <v>10250</v>
      </c>
      <c r="I125" s="59">
        <f t="shared" si="61"/>
        <v>10250</v>
      </c>
      <c r="J125" s="59">
        <f t="shared" si="61"/>
        <v>10250</v>
      </c>
      <c r="K125" s="59">
        <f t="shared" si="61"/>
        <v>10250</v>
      </c>
      <c r="L125" s="59">
        <f t="shared" si="61"/>
        <v>10250</v>
      </c>
      <c r="M125" s="59">
        <f t="shared" si="61"/>
        <v>10250</v>
      </c>
      <c r="N125" s="59">
        <f t="shared" si="61"/>
        <v>10250</v>
      </c>
      <c r="O125" s="60" t="s">
        <v>100</v>
      </c>
      <c r="P125" s="61">
        <f>N124</f>
        <v>10250</v>
      </c>
    </row>
    <row r="128" spans="2:16" x14ac:dyDescent="0.25">
      <c r="B128" s="288" t="s">
        <v>147</v>
      </c>
      <c r="C128" s="288"/>
      <c r="D128" s="288"/>
      <c r="E128" s="288"/>
      <c r="F128" s="288"/>
      <c r="G128" s="288"/>
      <c r="H128" s="288"/>
      <c r="I128" s="288"/>
      <c r="J128" s="288"/>
      <c r="K128" s="288"/>
      <c r="L128" s="288"/>
      <c r="M128" s="288"/>
      <c r="N128" s="288"/>
      <c r="O128" s="288"/>
      <c r="P128" s="288"/>
    </row>
    <row r="129" spans="2:31" x14ac:dyDescent="0.25">
      <c r="B129" s="213"/>
      <c r="C129" s="215" t="s">
        <v>50</v>
      </c>
      <c r="D129" s="215" t="s">
        <v>51</v>
      </c>
      <c r="E129" s="215" t="s">
        <v>52</v>
      </c>
      <c r="F129" s="215" t="s">
        <v>53</v>
      </c>
      <c r="G129" s="215" t="s">
        <v>54</v>
      </c>
      <c r="H129" s="215" t="s">
        <v>55</v>
      </c>
      <c r="I129" s="215" t="s">
        <v>56</v>
      </c>
      <c r="J129" s="215" t="s">
        <v>57</v>
      </c>
      <c r="K129" s="215" t="s">
        <v>58</v>
      </c>
      <c r="L129" s="215" t="s">
        <v>59</v>
      </c>
      <c r="M129" s="215" t="s">
        <v>60</v>
      </c>
      <c r="N129" s="215" t="s">
        <v>61</v>
      </c>
      <c r="O129" s="220" t="s">
        <v>62</v>
      </c>
      <c r="P129" s="221"/>
    </row>
    <row r="130" spans="2:31" x14ac:dyDescent="0.25">
      <c r="B130" s="214"/>
      <c r="C130" s="216"/>
      <c r="D130" s="216"/>
      <c r="E130" s="216"/>
      <c r="F130" s="216"/>
      <c r="G130" s="216"/>
      <c r="H130" s="216"/>
      <c r="I130" s="216"/>
      <c r="J130" s="216"/>
      <c r="K130" s="216"/>
      <c r="L130" s="216"/>
      <c r="M130" s="216"/>
      <c r="N130" s="216"/>
      <c r="O130" s="58" t="s">
        <v>64</v>
      </c>
      <c r="P130" s="58" t="s">
        <v>65</v>
      </c>
    </row>
    <row r="131" spans="2:31" x14ac:dyDescent="0.25">
      <c r="B131" s="46" t="s">
        <v>102</v>
      </c>
      <c r="C131" s="35"/>
      <c r="D131" s="35"/>
      <c r="E131" s="35"/>
      <c r="F131" s="35"/>
      <c r="G131" s="35"/>
      <c r="H131" s="35"/>
      <c r="I131" s="35"/>
      <c r="J131" s="35"/>
      <c r="K131" s="35"/>
      <c r="L131" s="35">
        <v>8200</v>
      </c>
      <c r="M131" s="35"/>
      <c r="N131" s="35"/>
      <c r="O131" s="60" t="s">
        <v>103</v>
      </c>
      <c r="P131" s="61">
        <f>SUM(C131:N131)</f>
        <v>8200</v>
      </c>
    </row>
    <row r="132" spans="2:31" x14ac:dyDescent="0.25">
      <c r="B132" s="34" t="s">
        <v>105</v>
      </c>
      <c r="C132" s="34"/>
      <c r="D132" s="34"/>
      <c r="E132" s="34"/>
      <c r="F132" s="34"/>
      <c r="G132" s="34"/>
      <c r="H132" s="34"/>
      <c r="I132" s="34"/>
      <c r="J132" s="34"/>
      <c r="K132" s="34"/>
      <c r="L132" s="34">
        <v>8200</v>
      </c>
      <c r="M132" s="34"/>
      <c r="N132" s="34"/>
      <c r="O132" s="34"/>
      <c r="P132" s="34"/>
    </row>
    <row r="133" spans="2:31" x14ac:dyDescent="0.25">
      <c r="B133" s="34" t="s">
        <v>106</v>
      </c>
      <c r="C133" s="34">
        <f>Informations!$D14/12</f>
        <v>233.33333333333337</v>
      </c>
      <c r="D133" s="34">
        <f>Informations!$D14/12</f>
        <v>233.33333333333337</v>
      </c>
      <c r="E133" s="34">
        <f>Informations!$D14/12</f>
        <v>233.33333333333337</v>
      </c>
      <c r="F133" s="34">
        <f>Informations!$D14/12</f>
        <v>233.33333333333337</v>
      </c>
      <c r="G133" s="34">
        <f>Informations!$D14/12</f>
        <v>233.33333333333337</v>
      </c>
      <c r="H133" s="34">
        <f>Informations!$D14/12</f>
        <v>233.33333333333337</v>
      </c>
      <c r="I133" s="34">
        <f>Informations!$D14/12</f>
        <v>233.33333333333337</v>
      </c>
      <c r="J133" s="34">
        <f>Informations!$D14/12</f>
        <v>233.33333333333337</v>
      </c>
      <c r="K133" s="34">
        <f>Informations!$D14/12</f>
        <v>233.33333333333337</v>
      </c>
      <c r="L133" s="34">
        <f>Informations!$D14/12</f>
        <v>233.33333333333337</v>
      </c>
      <c r="M133" s="34">
        <f>Informations!$D14/12</f>
        <v>233.33333333333337</v>
      </c>
      <c r="N133" s="34">
        <f>Informations!$D14/12</f>
        <v>233.33333333333337</v>
      </c>
      <c r="O133" s="60" t="s">
        <v>107</v>
      </c>
      <c r="P133" s="61">
        <f>SUM(C133:N133)</f>
        <v>2800.0000000000014</v>
      </c>
    </row>
    <row r="134" spans="2:31" x14ac:dyDescent="0.25">
      <c r="B134" s="34" t="s">
        <v>108</v>
      </c>
      <c r="C134" s="34">
        <f t="shared" ref="C134:N134" si="62">$P$42/12</f>
        <v>3333.3333333333335</v>
      </c>
      <c r="D134" s="34">
        <f t="shared" si="62"/>
        <v>3333.3333333333335</v>
      </c>
      <c r="E134" s="34">
        <f t="shared" si="62"/>
        <v>3333.3333333333335</v>
      </c>
      <c r="F134" s="34">
        <f t="shared" si="62"/>
        <v>3333.3333333333335</v>
      </c>
      <c r="G134" s="34">
        <f t="shared" si="62"/>
        <v>3333.3333333333335</v>
      </c>
      <c r="H134" s="34">
        <f t="shared" si="62"/>
        <v>3333.3333333333335</v>
      </c>
      <c r="I134" s="34">
        <f t="shared" si="62"/>
        <v>3333.3333333333335</v>
      </c>
      <c r="J134" s="34">
        <f t="shared" si="62"/>
        <v>3333.3333333333335</v>
      </c>
      <c r="K134" s="34">
        <f t="shared" si="62"/>
        <v>3333.3333333333335</v>
      </c>
      <c r="L134" s="34">
        <f t="shared" si="62"/>
        <v>3333.3333333333335</v>
      </c>
      <c r="M134" s="34">
        <f t="shared" si="62"/>
        <v>3333.3333333333335</v>
      </c>
      <c r="N134" s="34">
        <f t="shared" si="62"/>
        <v>3333.3333333333335</v>
      </c>
      <c r="O134" s="60" t="s">
        <v>109</v>
      </c>
      <c r="P134" s="61">
        <f>Informations!E14</f>
        <v>40000</v>
      </c>
    </row>
    <row r="135" spans="2:31" x14ac:dyDescent="0.25">
      <c r="B135" s="59" t="s">
        <v>71</v>
      </c>
      <c r="C135" s="59">
        <f t="shared" ref="C135:N135" si="63">C133+C134</f>
        <v>3566.666666666667</v>
      </c>
      <c r="D135" s="59">
        <f t="shared" si="63"/>
        <v>3566.666666666667</v>
      </c>
      <c r="E135" s="59">
        <f t="shared" si="63"/>
        <v>3566.666666666667</v>
      </c>
      <c r="F135" s="59">
        <f t="shared" si="63"/>
        <v>3566.666666666667</v>
      </c>
      <c r="G135" s="59">
        <f t="shared" si="63"/>
        <v>3566.666666666667</v>
      </c>
      <c r="H135" s="59">
        <f t="shared" si="63"/>
        <v>3566.666666666667</v>
      </c>
      <c r="I135" s="59">
        <f t="shared" si="63"/>
        <v>3566.666666666667</v>
      </c>
      <c r="J135" s="59">
        <f t="shared" si="63"/>
        <v>3566.666666666667</v>
      </c>
      <c r="K135" s="59">
        <f t="shared" si="63"/>
        <v>3566.666666666667</v>
      </c>
      <c r="L135" s="59">
        <f t="shared" si="63"/>
        <v>3566.666666666667</v>
      </c>
      <c r="M135" s="59">
        <f t="shared" si="63"/>
        <v>3566.666666666667</v>
      </c>
      <c r="N135" s="59">
        <f t="shared" si="63"/>
        <v>3566.666666666667</v>
      </c>
      <c r="O135" s="38"/>
      <c r="P135" s="38"/>
    </row>
    <row r="138" spans="2:31" x14ac:dyDescent="0.25">
      <c r="B138" s="288" t="s">
        <v>148</v>
      </c>
      <c r="C138" s="288"/>
      <c r="D138" s="288"/>
      <c r="E138" s="288"/>
      <c r="F138" s="288"/>
      <c r="G138" s="288"/>
      <c r="H138" s="288"/>
      <c r="I138" s="288"/>
      <c r="J138" s="288"/>
      <c r="K138" s="288"/>
      <c r="L138" s="288"/>
      <c r="M138" s="288"/>
      <c r="N138" s="288"/>
      <c r="O138" s="288"/>
      <c r="P138" s="288"/>
    </row>
    <row r="139" spans="2:31" x14ac:dyDescent="0.25">
      <c r="B139" s="213"/>
      <c r="C139" s="215" t="s">
        <v>50</v>
      </c>
      <c r="D139" s="215" t="s">
        <v>51</v>
      </c>
      <c r="E139" s="215" t="s">
        <v>52</v>
      </c>
      <c r="F139" s="215" t="s">
        <v>53</v>
      </c>
      <c r="G139" s="215" t="s">
        <v>54</v>
      </c>
      <c r="H139" s="215" t="s">
        <v>55</v>
      </c>
      <c r="I139" s="215" t="s">
        <v>56</v>
      </c>
      <c r="J139" s="215" t="s">
        <v>57</v>
      </c>
      <c r="K139" s="215" t="s">
        <v>58</v>
      </c>
      <c r="L139" s="215" t="s">
        <v>59</v>
      </c>
      <c r="M139" s="215" t="s">
        <v>60</v>
      </c>
      <c r="N139" s="215" t="s">
        <v>61</v>
      </c>
      <c r="O139" s="220" t="s">
        <v>62</v>
      </c>
      <c r="P139" s="221"/>
    </row>
    <row r="140" spans="2:31" x14ac:dyDescent="0.25">
      <c r="B140" s="214"/>
      <c r="C140" s="216"/>
      <c r="D140" s="216"/>
      <c r="E140" s="216"/>
      <c r="F140" s="216"/>
      <c r="G140" s="216"/>
      <c r="H140" s="216"/>
      <c r="I140" s="216"/>
      <c r="J140" s="216"/>
      <c r="K140" s="216"/>
      <c r="L140" s="216"/>
      <c r="M140" s="216"/>
      <c r="N140" s="216"/>
      <c r="O140" s="58" t="s">
        <v>64</v>
      </c>
      <c r="P140" s="58" t="s">
        <v>65</v>
      </c>
    </row>
    <row r="141" spans="2:31" x14ac:dyDescent="0.25">
      <c r="B141" s="35" t="s">
        <v>111</v>
      </c>
      <c r="C141" s="35"/>
      <c r="D141" s="35"/>
      <c r="E141" s="35"/>
      <c r="F141" s="35"/>
      <c r="G141" s="35"/>
      <c r="H141" s="35">
        <f>Emprunt!J14</f>
        <v>17000</v>
      </c>
      <c r="I141" s="35"/>
      <c r="J141" s="35"/>
      <c r="K141" s="35"/>
      <c r="L141" s="35"/>
      <c r="M141" s="35"/>
      <c r="N141" s="35"/>
      <c r="O141" s="60" t="s">
        <v>112</v>
      </c>
      <c r="P141" s="61">
        <f>SUM(C141:N141)</f>
        <v>17000</v>
      </c>
    </row>
    <row r="142" spans="2:31" x14ac:dyDescent="0.25">
      <c r="B142" s="34" t="s">
        <v>113</v>
      </c>
      <c r="C142" s="34">
        <f t="shared" ref="C142:N142" si="64">C141*20%</f>
        <v>0</v>
      </c>
      <c r="D142" s="34">
        <f t="shared" si="64"/>
        <v>0</v>
      </c>
      <c r="E142" s="34">
        <f t="shared" si="64"/>
        <v>0</v>
      </c>
      <c r="F142" s="34">
        <f t="shared" si="64"/>
        <v>0</v>
      </c>
      <c r="G142" s="34">
        <f t="shared" si="64"/>
        <v>0</v>
      </c>
      <c r="H142" s="34">
        <f t="shared" si="64"/>
        <v>3400</v>
      </c>
      <c r="I142" s="34">
        <f t="shared" si="64"/>
        <v>0</v>
      </c>
      <c r="J142" s="34">
        <f t="shared" si="64"/>
        <v>0</v>
      </c>
      <c r="K142" s="34">
        <f t="shared" si="64"/>
        <v>0</v>
      </c>
      <c r="L142" s="34">
        <f t="shared" si="64"/>
        <v>0</v>
      </c>
      <c r="M142" s="34">
        <f t="shared" si="64"/>
        <v>0</v>
      </c>
      <c r="N142" s="34">
        <f t="shared" si="64"/>
        <v>0</v>
      </c>
      <c r="O142" s="34"/>
      <c r="P142" s="34"/>
    </row>
    <row r="143" spans="2:31" x14ac:dyDescent="0.25">
      <c r="B143" s="34" t="s">
        <v>114</v>
      </c>
      <c r="C143" s="34">
        <f t="shared" ref="C143:N143" si="65">C141+C142</f>
        <v>0</v>
      </c>
      <c r="D143" s="34">
        <f t="shared" si="65"/>
        <v>0</v>
      </c>
      <c r="E143" s="34">
        <f t="shared" si="65"/>
        <v>0</v>
      </c>
      <c r="F143" s="34">
        <f t="shared" si="65"/>
        <v>0</v>
      </c>
      <c r="G143" s="34">
        <f t="shared" si="65"/>
        <v>0</v>
      </c>
      <c r="H143" s="34">
        <f t="shared" si="65"/>
        <v>20400</v>
      </c>
      <c r="I143" s="34">
        <f t="shared" si="65"/>
        <v>0</v>
      </c>
      <c r="J143" s="34">
        <f t="shared" si="65"/>
        <v>0</v>
      </c>
      <c r="K143" s="34">
        <f t="shared" si="65"/>
        <v>0</v>
      </c>
      <c r="L143" s="34">
        <f t="shared" si="65"/>
        <v>0</v>
      </c>
      <c r="M143" s="34">
        <f t="shared" si="65"/>
        <v>0</v>
      </c>
      <c r="N143" s="34">
        <f t="shared" si="65"/>
        <v>0</v>
      </c>
      <c r="O143" s="34"/>
      <c r="P143" s="34"/>
      <c r="S143" s="283" t="s">
        <v>203</v>
      </c>
      <c r="T143" s="283" t="s">
        <v>50</v>
      </c>
      <c r="U143" s="283" t="s">
        <v>51</v>
      </c>
      <c r="V143" s="283" t="s">
        <v>52</v>
      </c>
      <c r="W143" s="283" t="s">
        <v>53</v>
      </c>
      <c r="X143" s="283" t="s">
        <v>54</v>
      </c>
      <c r="Y143" s="283" t="s">
        <v>55</v>
      </c>
      <c r="Z143" s="283" t="s">
        <v>56</v>
      </c>
      <c r="AA143" s="283" t="s">
        <v>57</v>
      </c>
      <c r="AB143" s="283" t="s">
        <v>58</v>
      </c>
      <c r="AC143" s="283" t="s">
        <v>59</v>
      </c>
      <c r="AD143" s="283" t="s">
        <v>60</v>
      </c>
      <c r="AE143" s="283" t="s">
        <v>61</v>
      </c>
    </row>
    <row r="144" spans="2:31" x14ac:dyDescent="0.25">
      <c r="B144" s="59" t="s">
        <v>81</v>
      </c>
      <c r="C144" s="59">
        <f t="shared" ref="C144:N144" si="66">C143</f>
        <v>0</v>
      </c>
      <c r="D144" s="59">
        <f t="shared" si="66"/>
        <v>0</v>
      </c>
      <c r="E144" s="59">
        <f t="shared" si="66"/>
        <v>0</v>
      </c>
      <c r="F144" s="59">
        <f t="shared" si="66"/>
        <v>0</v>
      </c>
      <c r="G144" s="59">
        <f t="shared" si="66"/>
        <v>0</v>
      </c>
      <c r="H144" s="59">
        <f t="shared" si="66"/>
        <v>20400</v>
      </c>
      <c r="I144" s="59">
        <f t="shared" si="66"/>
        <v>0</v>
      </c>
      <c r="J144" s="59">
        <f t="shared" si="66"/>
        <v>0</v>
      </c>
      <c r="K144" s="59">
        <f t="shared" si="66"/>
        <v>0</v>
      </c>
      <c r="L144" s="59">
        <f t="shared" si="66"/>
        <v>0</v>
      </c>
      <c r="M144" s="59">
        <f t="shared" si="66"/>
        <v>0</v>
      </c>
      <c r="N144" s="59">
        <f t="shared" si="66"/>
        <v>0</v>
      </c>
      <c r="O144" s="60" t="s">
        <v>220</v>
      </c>
      <c r="P144" s="61">
        <v>0</v>
      </c>
      <c r="S144" s="283"/>
      <c r="T144" s="283"/>
      <c r="U144" s="283"/>
      <c r="V144" s="283"/>
      <c r="W144" s="283"/>
      <c r="X144" s="283"/>
      <c r="Y144" s="283"/>
      <c r="Z144" s="283"/>
      <c r="AA144" s="283"/>
      <c r="AB144" s="283"/>
      <c r="AC144" s="283"/>
      <c r="AD144" s="283"/>
      <c r="AE144" s="283"/>
    </row>
    <row r="145" spans="2:31" x14ac:dyDescent="0.25">
      <c r="C145" s="20" t="s">
        <v>149</v>
      </c>
      <c r="S145" s="59" t="s">
        <v>204</v>
      </c>
      <c r="T145" s="59">
        <f t="shared" ref="T145:AE145" si="67">C164</f>
        <v>6364.8</v>
      </c>
      <c r="U145" s="59">
        <f t="shared" si="67"/>
        <v>6555.7439999999997</v>
      </c>
      <c r="V145" s="59">
        <f t="shared" si="67"/>
        <v>6555.7439999999997</v>
      </c>
      <c r="W145" s="59">
        <f t="shared" si="67"/>
        <v>6555.7439999999997</v>
      </c>
      <c r="X145" s="59">
        <f t="shared" si="67"/>
        <v>6555.7439999999997</v>
      </c>
      <c r="Y145" s="59">
        <f t="shared" si="67"/>
        <v>6555.7439999999997</v>
      </c>
      <c r="Z145" s="59">
        <f t="shared" si="67"/>
        <v>6555.7439999999997</v>
      </c>
      <c r="AA145" s="59">
        <f t="shared" si="67"/>
        <v>6555.7439999999997</v>
      </c>
      <c r="AB145" s="59">
        <f t="shared" si="67"/>
        <v>6555.7439999999997</v>
      </c>
      <c r="AC145" s="59">
        <f t="shared" si="67"/>
        <v>6555.7439999999997</v>
      </c>
      <c r="AD145" s="59">
        <f t="shared" si="67"/>
        <v>6555.7439999999997</v>
      </c>
      <c r="AE145" s="59">
        <f t="shared" si="67"/>
        <v>6555.7439999999997</v>
      </c>
    </row>
    <row r="146" spans="2:31" x14ac:dyDescent="0.25">
      <c r="S146" s="34" t="s">
        <v>205</v>
      </c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4"/>
      <c r="AE146" s="34"/>
    </row>
    <row r="147" spans="2:31" x14ac:dyDescent="0.25">
      <c r="B147" s="288" t="s">
        <v>150</v>
      </c>
      <c r="C147" s="288"/>
      <c r="D147" s="288"/>
      <c r="E147" s="288"/>
      <c r="F147" s="288"/>
      <c r="G147" s="288"/>
      <c r="H147" s="288"/>
      <c r="I147" s="288"/>
      <c r="J147" s="288"/>
      <c r="K147" s="288"/>
      <c r="L147" s="288"/>
      <c r="M147" s="288"/>
      <c r="N147" s="288"/>
      <c r="O147" s="288"/>
      <c r="P147" s="288"/>
      <c r="S147" s="34" t="s">
        <v>206</v>
      </c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4"/>
      <c r="AE147" s="34"/>
    </row>
    <row r="148" spans="2:31" x14ac:dyDescent="0.25">
      <c r="B148" s="213"/>
      <c r="C148" s="215" t="s">
        <v>50</v>
      </c>
      <c r="D148" s="215" t="s">
        <v>51</v>
      </c>
      <c r="E148" s="215" t="s">
        <v>52</v>
      </c>
      <c r="F148" s="215" t="s">
        <v>53</v>
      </c>
      <c r="G148" s="215" t="s">
        <v>54</v>
      </c>
      <c r="H148" s="215" t="s">
        <v>55</v>
      </c>
      <c r="I148" s="215" t="s">
        <v>56</v>
      </c>
      <c r="J148" s="215" t="s">
        <v>57</v>
      </c>
      <c r="K148" s="215" t="s">
        <v>58</v>
      </c>
      <c r="L148" s="215" t="s">
        <v>59</v>
      </c>
      <c r="M148" s="215" t="s">
        <v>60</v>
      </c>
      <c r="N148" s="215" t="s">
        <v>61</v>
      </c>
      <c r="O148" s="220" t="s">
        <v>62</v>
      </c>
      <c r="P148" s="221"/>
      <c r="S148" s="34" t="s">
        <v>207</v>
      </c>
      <c r="T148" s="34"/>
      <c r="U148" s="34"/>
      <c r="V148" s="34"/>
      <c r="W148" s="34"/>
      <c r="X148" s="34"/>
      <c r="Y148" s="34">
        <f>1078</f>
        <v>1078</v>
      </c>
      <c r="Z148" s="34"/>
      <c r="AA148" s="34"/>
      <c r="AB148" s="34"/>
      <c r="AC148" s="34">
        <f>3987</f>
        <v>3987</v>
      </c>
      <c r="AD148" s="34">
        <f>56</f>
        <v>56</v>
      </c>
      <c r="AE148" s="34"/>
    </row>
    <row r="149" spans="2:31" x14ac:dyDescent="0.25">
      <c r="B149" s="214"/>
      <c r="C149" s="216"/>
      <c r="D149" s="216"/>
      <c r="E149" s="216"/>
      <c r="F149" s="216"/>
      <c r="G149" s="216"/>
      <c r="H149" s="216"/>
      <c r="I149" s="216"/>
      <c r="J149" s="216"/>
      <c r="K149" s="216"/>
      <c r="L149" s="216"/>
      <c r="M149" s="216"/>
      <c r="N149" s="216"/>
      <c r="O149" s="58" t="s">
        <v>64</v>
      </c>
      <c r="P149" s="58" t="s">
        <v>65</v>
      </c>
      <c r="S149" s="59" t="s">
        <v>210</v>
      </c>
      <c r="T149" s="59">
        <f t="shared" ref="T149:AE149" si="68">T145+T148</f>
        <v>6364.8</v>
      </c>
      <c r="U149" s="59">
        <f t="shared" si="68"/>
        <v>6555.7439999999997</v>
      </c>
      <c r="V149" s="59">
        <f t="shared" si="68"/>
        <v>6555.7439999999997</v>
      </c>
      <c r="W149" s="59">
        <f t="shared" si="68"/>
        <v>6555.7439999999997</v>
      </c>
      <c r="X149" s="59">
        <f t="shared" si="68"/>
        <v>6555.7439999999997</v>
      </c>
      <c r="Y149" s="59">
        <f t="shared" si="68"/>
        <v>7633.7439999999997</v>
      </c>
      <c r="Z149" s="59">
        <f t="shared" si="68"/>
        <v>6555.7439999999997</v>
      </c>
      <c r="AA149" s="59">
        <f t="shared" si="68"/>
        <v>6555.7439999999997</v>
      </c>
      <c r="AB149" s="59">
        <f t="shared" si="68"/>
        <v>6555.7439999999997</v>
      </c>
      <c r="AC149" s="59">
        <f t="shared" si="68"/>
        <v>10542.743999999999</v>
      </c>
      <c r="AD149" s="59">
        <f t="shared" si="68"/>
        <v>6611.7439999999997</v>
      </c>
      <c r="AE149" s="59">
        <f t="shared" si="68"/>
        <v>6555.7439999999997</v>
      </c>
    </row>
    <row r="150" spans="2:31" x14ac:dyDescent="0.25">
      <c r="B150" s="59" t="s">
        <v>68</v>
      </c>
      <c r="C150" s="59">
        <f t="shared" ref="C150:N150" si="69">C97</f>
        <v>1092.624</v>
      </c>
      <c r="D150" s="59">
        <f t="shared" si="69"/>
        <v>1092.624</v>
      </c>
      <c r="E150" s="59">
        <f t="shared" si="69"/>
        <v>1092.624</v>
      </c>
      <c r="F150" s="59">
        <f t="shared" si="69"/>
        <v>1092.624</v>
      </c>
      <c r="G150" s="59">
        <f t="shared" si="69"/>
        <v>1092.624</v>
      </c>
      <c r="H150" s="59">
        <f t="shared" si="69"/>
        <v>1092.624</v>
      </c>
      <c r="I150" s="59">
        <f t="shared" si="69"/>
        <v>1092.624</v>
      </c>
      <c r="J150" s="59">
        <f t="shared" si="69"/>
        <v>1092.624</v>
      </c>
      <c r="K150" s="59">
        <f t="shared" si="69"/>
        <v>1092.624</v>
      </c>
      <c r="L150" s="59">
        <f t="shared" si="69"/>
        <v>1092.624</v>
      </c>
      <c r="M150" s="59">
        <f t="shared" si="69"/>
        <v>1092.624</v>
      </c>
      <c r="N150" s="59">
        <f t="shared" si="69"/>
        <v>1092.624</v>
      </c>
      <c r="O150" s="34"/>
      <c r="P150" s="34"/>
      <c r="S150" s="34" t="s">
        <v>211</v>
      </c>
      <c r="T150" s="34">
        <f t="shared" ref="T150:AE150" si="70">C174</f>
        <v>49382.064746666663</v>
      </c>
      <c r="U150" s="34">
        <f t="shared" si="70"/>
        <v>49382.489066666669</v>
      </c>
      <c r="V150" s="34">
        <f t="shared" si="70"/>
        <v>49382.489066666669</v>
      </c>
      <c r="W150" s="34">
        <f t="shared" si="70"/>
        <v>49382.489066666669</v>
      </c>
      <c r="X150" s="34">
        <f t="shared" si="70"/>
        <v>49382.489066666669</v>
      </c>
      <c r="Y150" s="34">
        <f t="shared" si="70"/>
        <v>69782.489066666676</v>
      </c>
      <c r="Z150" s="34">
        <f t="shared" si="70"/>
        <v>45982.489066666662</v>
      </c>
      <c r="AA150" s="34">
        <f t="shared" si="70"/>
        <v>49382.489066666669</v>
      </c>
      <c r="AB150" s="34">
        <f t="shared" si="70"/>
        <v>49382.489066666669</v>
      </c>
      <c r="AC150" s="34">
        <f t="shared" si="70"/>
        <v>57582.489066666669</v>
      </c>
      <c r="AD150" s="34">
        <f t="shared" si="70"/>
        <v>49382.489066666669</v>
      </c>
      <c r="AE150" s="34">
        <f t="shared" si="70"/>
        <v>49382.489066666669</v>
      </c>
    </row>
    <row r="151" spans="2:31" x14ac:dyDescent="0.25">
      <c r="B151" s="34" t="s">
        <v>79</v>
      </c>
      <c r="C151" s="34">
        <f t="shared" ref="C151:N151" si="71">C106</f>
        <v>349.63968</v>
      </c>
      <c r="D151" s="34">
        <f t="shared" si="71"/>
        <v>349.63968</v>
      </c>
      <c r="E151" s="34">
        <f t="shared" si="71"/>
        <v>349.63968</v>
      </c>
      <c r="F151" s="34">
        <f t="shared" si="71"/>
        <v>349.63968</v>
      </c>
      <c r="G151" s="34">
        <f t="shared" si="71"/>
        <v>349.63968</v>
      </c>
      <c r="H151" s="34">
        <f t="shared" si="71"/>
        <v>349.63968</v>
      </c>
      <c r="I151" s="34">
        <f t="shared" si="71"/>
        <v>349.63968</v>
      </c>
      <c r="J151" s="34">
        <f t="shared" si="71"/>
        <v>349.63968</v>
      </c>
      <c r="K151" s="34">
        <f t="shared" si="71"/>
        <v>349.63968</v>
      </c>
      <c r="L151" s="34">
        <f t="shared" si="71"/>
        <v>349.63968</v>
      </c>
      <c r="M151" s="34">
        <f t="shared" si="71"/>
        <v>349.63968</v>
      </c>
      <c r="N151" s="34">
        <f t="shared" si="71"/>
        <v>349.63968</v>
      </c>
      <c r="O151" s="34"/>
      <c r="P151" s="34"/>
      <c r="S151" s="34" t="s">
        <v>212</v>
      </c>
      <c r="T151" s="34"/>
      <c r="U151" s="34"/>
      <c r="V151" s="34"/>
      <c r="W151" s="34"/>
      <c r="X151" s="34"/>
      <c r="Y151" s="34"/>
      <c r="Z151" s="34">
        <f>Y148*0.07</f>
        <v>75.460000000000008</v>
      </c>
      <c r="AA151" s="34"/>
      <c r="AB151" s="34">
        <f>AA148*0.07</f>
        <v>0</v>
      </c>
      <c r="AC151" s="34">
        <f>AB148*0.07</f>
        <v>0</v>
      </c>
      <c r="AD151" s="34">
        <f>AC148*0.07</f>
        <v>279.09000000000003</v>
      </c>
      <c r="AE151" s="34">
        <f>AD148*0.07</f>
        <v>3.9200000000000004</v>
      </c>
    </row>
    <row r="152" spans="2:31" x14ac:dyDescent="0.25">
      <c r="B152" s="34" t="s">
        <v>86</v>
      </c>
      <c r="C152" s="34">
        <f t="shared" ref="C152:N152" si="72">C115</f>
        <v>1420</v>
      </c>
      <c r="D152" s="34">
        <f t="shared" si="72"/>
        <v>1420</v>
      </c>
      <c r="E152" s="34">
        <f t="shared" si="72"/>
        <v>1420</v>
      </c>
      <c r="F152" s="34">
        <f t="shared" si="72"/>
        <v>1420</v>
      </c>
      <c r="G152" s="34">
        <f t="shared" si="72"/>
        <v>1420</v>
      </c>
      <c r="H152" s="34">
        <f t="shared" si="72"/>
        <v>1420</v>
      </c>
      <c r="I152" s="34">
        <f t="shared" si="72"/>
        <v>1420</v>
      </c>
      <c r="J152" s="34">
        <f t="shared" si="72"/>
        <v>1420</v>
      </c>
      <c r="K152" s="34">
        <f t="shared" si="72"/>
        <v>1420</v>
      </c>
      <c r="L152" s="34">
        <f t="shared" si="72"/>
        <v>1420</v>
      </c>
      <c r="M152" s="34">
        <f t="shared" si="72"/>
        <v>1420</v>
      </c>
      <c r="N152" s="34">
        <f t="shared" si="72"/>
        <v>1420</v>
      </c>
      <c r="O152" s="34"/>
      <c r="P152" s="34"/>
      <c r="S152" s="59" t="s">
        <v>213</v>
      </c>
      <c r="T152" s="59">
        <f t="shared" ref="T152:AE152" si="73">T150+T151</f>
        <v>49382.064746666663</v>
      </c>
      <c r="U152" s="59">
        <f t="shared" si="73"/>
        <v>49382.489066666669</v>
      </c>
      <c r="V152" s="59">
        <f t="shared" si="73"/>
        <v>49382.489066666669</v>
      </c>
      <c r="W152" s="59">
        <f t="shared" si="73"/>
        <v>49382.489066666669</v>
      </c>
      <c r="X152" s="59">
        <f t="shared" si="73"/>
        <v>49382.489066666669</v>
      </c>
      <c r="Y152" s="59">
        <f t="shared" si="73"/>
        <v>69782.489066666676</v>
      </c>
      <c r="Z152" s="59">
        <f t="shared" si="73"/>
        <v>46057.949066666661</v>
      </c>
      <c r="AA152" s="59">
        <f t="shared" si="73"/>
        <v>49382.489066666669</v>
      </c>
      <c r="AB152" s="59">
        <f t="shared" si="73"/>
        <v>49382.489066666669</v>
      </c>
      <c r="AC152" s="59">
        <f t="shared" si="73"/>
        <v>57582.489066666669</v>
      </c>
      <c r="AD152" s="59">
        <f t="shared" si="73"/>
        <v>49661.579066666665</v>
      </c>
      <c r="AE152" s="59">
        <f t="shared" si="73"/>
        <v>49386.409066666667</v>
      </c>
    </row>
    <row r="153" spans="2:31" x14ac:dyDescent="0.25">
      <c r="B153" s="59" t="s">
        <v>113</v>
      </c>
      <c r="C153" s="59">
        <f t="shared" ref="C153:N153" si="74">C142</f>
        <v>0</v>
      </c>
      <c r="D153" s="59">
        <f t="shared" si="74"/>
        <v>0</v>
      </c>
      <c r="E153" s="59">
        <f t="shared" si="74"/>
        <v>0</v>
      </c>
      <c r="F153" s="59">
        <f t="shared" si="74"/>
        <v>0</v>
      </c>
      <c r="G153" s="59">
        <f t="shared" si="74"/>
        <v>0</v>
      </c>
      <c r="H153" s="59">
        <f t="shared" si="74"/>
        <v>3400</v>
      </c>
      <c r="I153" s="59">
        <f t="shared" si="74"/>
        <v>0</v>
      </c>
      <c r="J153" s="59">
        <f t="shared" si="74"/>
        <v>0</v>
      </c>
      <c r="K153" s="59">
        <f t="shared" si="74"/>
        <v>0</v>
      </c>
      <c r="L153" s="59">
        <f t="shared" si="74"/>
        <v>0</v>
      </c>
      <c r="M153" s="59">
        <f t="shared" si="74"/>
        <v>0</v>
      </c>
      <c r="N153" s="59">
        <f t="shared" si="74"/>
        <v>0</v>
      </c>
      <c r="O153" s="34"/>
      <c r="P153" s="34"/>
      <c r="S153" s="34" t="s">
        <v>132</v>
      </c>
      <c r="T153" s="34">
        <f>AE58</f>
        <v>-430755.93999999994</v>
      </c>
      <c r="U153" s="34">
        <f t="shared" ref="U153:AE153" si="75">T155</f>
        <v>-473773.2047466666</v>
      </c>
      <c r="V153" s="34">
        <f t="shared" si="75"/>
        <v>-516599.94981333328</v>
      </c>
      <c r="W153" s="34">
        <f t="shared" si="75"/>
        <v>-559426.69487999997</v>
      </c>
      <c r="X153" s="34">
        <f t="shared" si="75"/>
        <v>-602253.43994666659</v>
      </c>
      <c r="Y153" s="34">
        <f t="shared" si="75"/>
        <v>-645080.18501333322</v>
      </c>
      <c r="Z153" s="34">
        <f t="shared" si="75"/>
        <v>-707228.93007999985</v>
      </c>
      <c r="AA153" s="34">
        <f t="shared" si="75"/>
        <v>-746731.13514666655</v>
      </c>
      <c r="AB153" s="34">
        <f t="shared" si="75"/>
        <v>-789557.88021333318</v>
      </c>
      <c r="AC153" s="34">
        <f t="shared" si="75"/>
        <v>-832384.6252799998</v>
      </c>
      <c r="AD153" s="34">
        <f t="shared" si="75"/>
        <v>-879424.37034666643</v>
      </c>
      <c r="AE153" s="34">
        <f t="shared" si="75"/>
        <v>-922474.20541333314</v>
      </c>
    </row>
    <row r="154" spans="2:31" x14ac:dyDescent="0.25">
      <c r="B154" s="44" t="s">
        <v>117</v>
      </c>
      <c r="C154" s="42">
        <f t="shared" ref="C154:N154" si="76">C151+C152+C153</f>
        <v>1769.63968</v>
      </c>
      <c r="D154" s="42">
        <f t="shared" si="76"/>
        <v>1769.63968</v>
      </c>
      <c r="E154" s="42">
        <f t="shared" si="76"/>
        <v>1769.63968</v>
      </c>
      <c r="F154" s="42">
        <f t="shared" si="76"/>
        <v>1769.63968</v>
      </c>
      <c r="G154" s="42">
        <f t="shared" si="76"/>
        <v>1769.63968</v>
      </c>
      <c r="H154" s="42">
        <f t="shared" si="76"/>
        <v>5169.6396800000002</v>
      </c>
      <c r="I154" s="42">
        <f t="shared" si="76"/>
        <v>1769.63968</v>
      </c>
      <c r="J154" s="42">
        <f t="shared" si="76"/>
        <v>1769.63968</v>
      </c>
      <c r="K154" s="42">
        <f t="shared" si="76"/>
        <v>1769.63968</v>
      </c>
      <c r="L154" s="42">
        <f t="shared" si="76"/>
        <v>1769.63968</v>
      </c>
      <c r="M154" s="42">
        <f t="shared" si="76"/>
        <v>1769.63968</v>
      </c>
      <c r="N154" s="42">
        <f t="shared" si="76"/>
        <v>1769.63968</v>
      </c>
      <c r="O154" s="34"/>
      <c r="P154" s="34"/>
      <c r="S154" s="34" t="s">
        <v>133</v>
      </c>
      <c r="T154" s="34">
        <f t="shared" ref="T154:AE154" si="77">T149-T152</f>
        <v>-43017.26474666666</v>
      </c>
      <c r="U154" s="34">
        <f t="shared" si="77"/>
        <v>-42826.74506666667</v>
      </c>
      <c r="V154" s="34">
        <f t="shared" si="77"/>
        <v>-42826.74506666667</v>
      </c>
      <c r="W154" s="34">
        <f t="shared" si="77"/>
        <v>-42826.74506666667</v>
      </c>
      <c r="X154" s="34">
        <f t="shared" si="77"/>
        <v>-42826.74506666667</v>
      </c>
      <c r="Y154" s="34">
        <f t="shared" si="77"/>
        <v>-62148.745066666677</v>
      </c>
      <c r="Z154" s="34">
        <f t="shared" si="77"/>
        <v>-39502.205066666662</v>
      </c>
      <c r="AA154" s="34">
        <f t="shared" si="77"/>
        <v>-42826.74506666667</v>
      </c>
      <c r="AB154" s="34">
        <f t="shared" si="77"/>
        <v>-42826.74506666667</v>
      </c>
      <c r="AC154" s="34">
        <f t="shared" si="77"/>
        <v>-47039.74506666667</v>
      </c>
      <c r="AD154" s="34">
        <f t="shared" si="77"/>
        <v>-43049.835066666667</v>
      </c>
      <c r="AE154" s="34">
        <f t="shared" si="77"/>
        <v>-42830.665066666668</v>
      </c>
    </row>
    <row r="155" spans="2:31" x14ac:dyDescent="0.25">
      <c r="B155" s="45" t="s">
        <v>118</v>
      </c>
      <c r="C155" s="43">
        <f t="shared" ref="C155:N155" si="78">C150-C154</f>
        <v>-677.01567999999997</v>
      </c>
      <c r="D155" s="43">
        <f t="shared" si="78"/>
        <v>-677.01567999999997</v>
      </c>
      <c r="E155" s="43">
        <f t="shared" si="78"/>
        <v>-677.01567999999997</v>
      </c>
      <c r="F155" s="43">
        <f t="shared" si="78"/>
        <v>-677.01567999999997</v>
      </c>
      <c r="G155" s="43">
        <f t="shared" si="78"/>
        <v>-677.01567999999997</v>
      </c>
      <c r="H155" s="43">
        <f t="shared" si="78"/>
        <v>-4077.0156800000004</v>
      </c>
      <c r="I155" s="43">
        <f t="shared" si="78"/>
        <v>-677.01567999999997</v>
      </c>
      <c r="J155" s="43">
        <f t="shared" si="78"/>
        <v>-677.01567999999997</v>
      </c>
      <c r="K155" s="43">
        <f t="shared" si="78"/>
        <v>-677.01567999999997</v>
      </c>
      <c r="L155" s="43">
        <f t="shared" si="78"/>
        <v>-677.01567999999997</v>
      </c>
      <c r="M155" s="43">
        <f t="shared" si="78"/>
        <v>-677.01567999999997</v>
      </c>
      <c r="N155" s="43">
        <f t="shared" si="78"/>
        <v>-677.01567999999997</v>
      </c>
      <c r="O155" s="34"/>
      <c r="P155" s="34"/>
      <c r="S155" s="34" t="s">
        <v>214</v>
      </c>
      <c r="T155" s="34">
        <f t="shared" ref="T155:AE155" si="79">T153+T154</f>
        <v>-473773.2047466666</v>
      </c>
      <c r="U155" s="34">
        <f t="shared" si="79"/>
        <v>-516599.94981333328</v>
      </c>
      <c r="V155" s="34">
        <f t="shared" si="79"/>
        <v>-559426.69487999997</v>
      </c>
      <c r="W155" s="34">
        <f t="shared" si="79"/>
        <v>-602253.43994666659</v>
      </c>
      <c r="X155" s="34">
        <f t="shared" si="79"/>
        <v>-645080.18501333322</v>
      </c>
      <c r="Y155" s="34">
        <f t="shared" si="79"/>
        <v>-707228.93007999985</v>
      </c>
      <c r="Z155" s="34">
        <f t="shared" si="79"/>
        <v>-746731.13514666655</v>
      </c>
      <c r="AA155" s="34">
        <f t="shared" si="79"/>
        <v>-789557.88021333318</v>
      </c>
      <c r="AB155" s="34">
        <f t="shared" si="79"/>
        <v>-832384.6252799998</v>
      </c>
      <c r="AC155" s="34">
        <f t="shared" si="79"/>
        <v>-879424.37034666643</v>
      </c>
      <c r="AD155" s="34">
        <f t="shared" si="79"/>
        <v>-922474.20541333314</v>
      </c>
      <c r="AE155" s="34">
        <f t="shared" si="79"/>
        <v>-965304.87047999981</v>
      </c>
    </row>
    <row r="156" spans="2:31" x14ac:dyDescent="0.25">
      <c r="B156" s="59" t="s">
        <v>81</v>
      </c>
      <c r="C156" s="59">
        <f>P65</f>
        <v>-677.44</v>
      </c>
      <c r="D156" s="59">
        <f t="shared" ref="D156:N156" si="80">C155</f>
        <v>-677.01567999999997</v>
      </c>
      <c r="E156" s="59">
        <f t="shared" si="80"/>
        <v>-677.01567999999997</v>
      </c>
      <c r="F156" s="59">
        <f t="shared" si="80"/>
        <v>-677.01567999999997</v>
      </c>
      <c r="G156" s="59">
        <f t="shared" si="80"/>
        <v>-677.01567999999997</v>
      </c>
      <c r="H156" s="59">
        <f t="shared" si="80"/>
        <v>-677.01567999999997</v>
      </c>
      <c r="I156" s="59">
        <f t="shared" si="80"/>
        <v>-4077.0156800000004</v>
      </c>
      <c r="J156" s="59">
        <f t="shared" si="80"/>
        <v>-677.01567999999997</v>
      </c>
      <c r="K156" s="59">
        <f t="shared" si="80"/>
        <v>-677.01567999999997</v>
      </c>
      <c r="L156" s="59">
        <f t="shared" si="80"/>
        <v>-677.01567999999997</v>
      </c>
      <c r="M156" s="59">
        <f t="shared" si="80"/>
        <v>-677.01567999999997</v>
      </c>
      <c r="N156" s="59">
        <f t="shared" si="80"/>
        <v>-677.01567999999997</v>
      </c>
      <c r="O156" s="60" t="s">
        <v>119</v>
      </c>
      <c r="P156" s="61">
        <f>N155</f>
        <v>-677.01567999999997</v>
      </c>
    </row>
    <row r="159" spans="2:31" x14ac:dyDescent="0.25">
      <c r="B159" s="288" t="s">
        <v>151</v>
      </c>
      <c r="C159" s="288"/>
      <c r="D159" s="288"/>
      <c r="E159" s="288"/>
      <c r="F159" s="288"/>
      <c r="G159" s="288"/>
      <c r="H159" s="288"/>
      <c r="I159" s="288"/>
      <c r="J159" s="288"/>
      <c r="K159" s="288"/>
      <c r="L159" s="288"/>
      <c r="M159" s="288"/>
      <c r="N159" s="288"/>
      <c r="O159" s="288"/>
      <c r="P159" s="288"/>
      <c r="S159" s="228" t="s">
        <v>138</v>
      </c>
      <c r="T159" s="229"/>
      <c r="V159" s="224" t="s">
        <v>222</v>
      </c>
      <c r="W159" s="224"/>
      <c r="X159" s="224"/>
      <c r="Y159" s="224"/>
      <c r="Z159" s="224"/>
      <c r="AA159" s="224"/>
    </row>
    <row r="160" spans="2:31" ht="30" x14ac:dyDescent="0.25">
      <c r="B160" s="213"/>
      <c r="C160" s="215" t="s">
        <v>50</v>
      </c>
      <c r="D160" s="215" t="s">
        <v>51</v>
      </c>
      <c r="E160" s="215" t="s">
        <v>52</v>
      </c>
      <c r="F160" s="215" t="s">
        <v>53</v>
      </c>
      <c r="G160" s="215" t="s">
        <v>54</v>
      </c>
      <c r="H160" s="215" t="s">
        <v>55</v>
      </c>
      <c r="I160" s="215" t="s">
        <v>56</v>
      </c>
      <c r="J160" s="215" t="s">
        <v>57</v>
      </c>
      <c r="K160" s="215" t="s">
        <v>58</v>
      </c>
      <c r="L160" s="215" t="s">
        <v>59</v>
      </c>
      <c r="M160" s="215" t="s">
        <v>60</v>
      </c>
      <c r="N160" s="215" t="s">
        <v>61</v>
      </c>
      <c r="O160" s="220" t="s">
        <v>62</v>
      </c>
      <c r="P160" s="221"/>
      <c r="S160" s="143" t="s">
        <v>1</v>
      </c>
      <c r="T160" s="21">
        <f>P96</f>
        <v>65557.440000000017</v>
      </c>
      <c r="V160" s="144" t="s">
        <v>2</v>
      </c>
      <c r="W160" s="145" t="s">
        <v>3</v>
      </c>
      <c r="X160" s="145" t="s">
        <v>4</v>
      </c>
      <c r="Y160" s="145" t="s">
        <v>5</v>
      </c>
      <c r="Z160" s="146" t="s">
        <v>6</v>
      </c>
      <c r="AA160" s="147" t="s">
        <v>5</v>
      </c>
      <c r="AB160" s="287"/>
      <c r="AC160" s="286"/>
      <c r="AD160" s="286"/>
      <c r="AE160" s="286"/>
    </row>
    <row r="161" spans="2:31" x14ac:dyDescent="0.25">
      <c r="B161" s="214"/>
      <c r="C161" s="216"/>
      <c r="D161" s="216"/>
      <c r="E161" s="216"/>
      <c r="F161" s="216"/>
      <c r="G161" s="216"/>
      <c r="H161" s="216"/>
      <c r="I161" s="216"/>
      <c r="J161" s="216"/>
      <c r="K161" s="216"/>
      <c r="L161" s="216"/>
      <c r="M161" s="216"/>
      <c r="N161" s="216"/>
      <c r="O161" s="58" t="s">
        <v>64</v>
      </c>
      <c r="P161" s="58" t="s">
        <v>65</v>
      </c>
      <c r="S161" s="143" t="s">
        <v>67</v>
      </c>
      <c r="T161" s="21">
        <v>0</v>
      </c>
      <c r="V161" s="148" t="s">
        <v>8</v>
      </c>
      <c r="W161" s="148">
        <f>SUM(W162:W165)</f>
        <v>253500</v>
      </c>
      <c r="X161" s="148">
        <f>SUM(X162:X163)</f>
        <v>61520.238095238092</v>
      </c>
      <c r="Y161" s="148">
        <f>SUM(Y162:Y163)</f>
        <v>191979.76190476189</v>
      </c>
      <c r="Z161" s="148" t="s">
        <v>9</v>
      </c>
      <c r="AA161" s="149">
        <f>SUM(AA162:AA165)</f>
        <v>-884875.34889523801</v>
      </c>
      <c r="AB161" s="287"/>
      <c r="AC161" s="286"/>
      <c r="AD161" s="286"/>
      <c r="AE161" s="286"/>
    </row>
    <row r="162" spans="2:31" ht="30" x14ac:dyDescent="0.25">
      <c r="B162" s="35" t="s">
        <v>121</v>
      </c>
      <c r="C162" s="35">
        <f t="shared" ref="C162:N162" si="81">C99</f>
        <v>6364.8</v>
      </c>
      <c r="D162" s="35">
        <f t="shared" si="81"/>
        <v>6555.7439999999997</v>
      </c>
      <c r="E162" s="35">
        <f t="shared" si="81"/>
        <v>6555.7439999999997</v>
      </c>
      <c r="F162" s="35">
        <f t="shared" si="81"/>
        <v>6555.7439999999997</v>
      </c>
      <c r="G162" s="35">
        <f t="shared" si="81"/>
        <v>6555.7439999999997</v>
      </c>
      <c r="H162" s="35">
        <f t="shared" si="81"/>
        <v>6555.7439999999997</v>
      </c>
      <c r="I162" s="35">
        <f t="shared" si="81"/>
        <v>6555.7439999999997</v>
      </c>
      <c r="J162" s="43">
        <f t="shared" si="81"/>
        <v>6555.7439999999997</v>
      </c>
      <c r="K162" s="35">
        <f t="shared" si="81"/>
        <v>6555.7439999999997</v>
      </c>
      <c r="L162" s="35">
        <f t="shared" si="81"/>
        <v>6555.7439999999997</v>
      </c>
      <c r="M162" s="35">
        <f t="shared" si="81"/>
        <v>6555.7439999999997</v>
      </c>
      <c r="N162" s="35">
        <f t="shared" si="81"/>
        <v>6555.7439999999997</v>
      </c>
      <c r="O162" s="34"/>
      <c r="P162" s="34"/>
      <c r="S162" s="144" t="s">
        <v>10</v>
      </c>
      <c r="T162" s="131">
        <f>T160+T161</f>
        <v>65557.440000000017</v>
      </c>
      <c r="V162" s="150" t="s">
        <v>11</v>
      </c>
      <c r="W162" s="150">
        <f>'Bilan et CDR N+2'!G6</f>
        <v>176000</v>
      </c>
      <c r="X162" s="150">
        <f>X72+P121*0.75</f>
        <v>25315.178571428572</v>
      </c>
      <c r="Y162" s="150">
        <f>W162-X162</f>
        <v>150684.82142857142</v>
      </c>
      <c r="Z162" s="150" t="s">
        <v>12</v>
      </c>
      <c r="AA162" s="151">
        <f>AA72</f>
        <v>80000</v>
      </c>
      <c r="AB162" s="162"/>
      <c r="AC162" s="118"/>
      <c r="AD162" s="118"/>
      <c r="AE162" s="118"/>
    </row>
    <row r="163" spans="2:31" x14ac:dyDescent="0.25">
      <c r="B163" s="34" t="s">
        <v>122</v>
      </c>
      <c r="C163" s="34"/>
      <c r="D163" s="34"/>
      <c r="E163" s="34"/>
      <c r="F163" s="34"/>
      <c r="G163" s="34"/>
      <c r="H163" s="34"/>
      <c r="I163" s="34"/>
      <c r="J163" s="34"/>
      <c r="K163" s="34"/>
      <c r="L163" s="34"/>
      <c r="M163" s="34"/>
      <c r="N163" s="34"/>
      <c r="O163" s="34"/>
      <c r="P163" s="34"/>
      <c r="S163" s="143" t="s">
        <v>70</v>
      </c>
      <c r="T163" s="21">
        <f>P105</f>
        <v>20978.380799999999</v>
      </c>
      <c r="V163" s="150" t="s">
        <v>14</v>
      </c>
      <c r="W163" s="150">
        <f>'Bilan et CDR N+2'!G7</f>
        <v>77500</v>
      </c>
      <c r="X163" s="150">
        <f>X73+P121*0.25</f>
        <v>36205.059523809519</v>
      </c>
      <c r="Y163" s="150">
        <f>W163-X163</f>
        <v>41294.940476190481</v>
      </c>
      <c r="Z163" s="150" t="s">
        <v>15</v>
      </c>
      <c r="AA163" s="151">
        <v>5000</v>
      </c>
      <c r="AB163" s="152"/>
    </row>
    <row r="164" spans="2:31" x14ac:dyDescent="0.25">
      <c r="B164" s="59" t="s">
        <v>123</v>
      </c>
      <c r="C164" s="59">
        <f t="shared" ref="C164:N164" si="82">C163+C162</f>
        <v>6364.8</v>
      </c>
      <c r="D164" s="59">
        <f t="shared" si="82"/>
        <v>6555.7439999999997</v>
      </c>
      <c r="E164" s="59">
        <f t="shared" si="82"/>
        <v>6555.7439999999997</v>
      </c>
      <c r="F164" s="59">
        <f t="shared" si="82"/>
        <v>6555.7439999999997</v>
      </c>
      <c r="G164" s="59">
        <f t="shared" si="82"/>
        <v>6555.7439999999997</v>
      </c>
      <c r="H164" s="59">
        <f t="shared" si="82"/>
        <v>6555.7439999999997</v>
      </c>
      <c r="I164" s="59">
        <f t="shared" si="82"/>
        <v>6555.7439999999997</v>
      </c>
      <c r="J164" s="59">
        <f t="shared" si="82"/>
        <v>6555.7439999999997</v>
      </c>
      <c r="K164" s="59">
        <f t="shared" si="82"/>
        <v>6555.7439999999997</v>
      </c>
      <c r="L164" s="59">
        <f t="shared" si="82"/>
        <v>6555.7439999999997</v>
      </c>
      <c r="M164" s="59">
        <f t="shared" si="82"/>
        <v>6555.7439999999997</v>
      </c>
      <c r="N164" s="59">
        <f t="shared" si="82"/>
        <v>6555.7439999999997</v>
      </c>
      <c r="O164" s="34"/>
      <c r="P164" s="34"/>
      <c r="S164" s="143" t="s">
        <v>73</v>
      </c>
      <c r="T164" s="21">
        <f>P114</f>
        <v>85200</v>
      </c>
      <c r="V164" s="148"/>
      <c r="W164" s="148"/>
      <c r="X164" s="148"/>
      <c r="Y164" s="148"/>
      <c r="Z164" s="150" t="s">
        <v>17</v>
      </c>
      <c r="AA164" s="151">
        <f>AA74+AA75</f>
        <v>-475689.98571428569</v>
      </c>
      <c r="AB164" s="152"/>
    </row>
    <row r="165" spans="2:31" x14ac:dyDescent="0.25">
      <c r="B165" s="39" t="s">
        <v>124</v>
      </c>
      <c r="C165" s="41">
        <f t="shared" ref="C165:N165" si="83">C108</f>
        <v>2097.83808</v>
      </c>
      <c r="D165" s="41">
        <f t="shared" si="83"/>
        <v>2097.83808</v>
      </c>
      <c r="E165" s="41">
        <f t="shared" si="83"/>
        <v>2097.83808</v>
      </c>
      <c r="F165" s="41">
        <f t="shared" si="83"/>
        <v>2097.83808</v>
      </c>
      <c r="G165" s="41">
        <f t="shared" si="83"/>
        <v>2097.83808</v>
      </c>
      <c r="H165" s="41">
        <f t="shared" si="83"/>
        <v>2097.83808</v>
      </c>
      <c r="I165" s="41">
        <f t="shared" si="83"/>
        <v>2097.83808</v>
      </c>
      <c r="J165" s="41">
        <f t="shared" si="83"/>
        <v>2097.83808</v>
      </c>
      <c r="K165" s="41">
        <f t="shared" si="83"/>
        <v>2097.83808</v>
      </c>
      <c r="L165" s="41">
        <f t="shared" si="83"/>
        <v>2097.83808</v>
      </c>
      <c r="M165" s="41">
        <f t="shared" si="83"/>
        <v>2097.83808</v>
      </c>
      <c r="N165" s="41">
        <f t="shared" si="83"/>
        <v>2097.83808</v>
      </c>
      <c r="O165" s="34"/>
      <c r="P165" s="34"/>
      <c r="S165" s="143" t="s">
        <v>18</v>
      </c>
      <c r="T165" s="21">
        <f>P131</f>
        <v>8200</v>
      </c>
      <c r="V165" s="150"/>
      <c r="W165" s="150"/>
      <c r="X165" s="150"/>
      <c r="Y165" s="150"/>
      <c r="Z165" s="150" t="s">
        <v>19</v>
      </c>
      <c r="AA165" s="151">
        <f>T177</f>
        <v>-494185.36318095238</v>
      </c>
      <c r="AB165" s="152"/>
    </row>
    <row r="166" spans="2:31" x14ac:dyDescent="0.25">
      <c r="B166" s="39" t="s">
        <v>125</v>
      </c>
      <c r="C166" s="41"/>
      <c r="D166" s="41"/>
      <c r="E166" s="41"/>
      <c r="F166" s="41"/>
      <c r="G166" s="41"/>
      <c r="H166" s="41"/>
      <c r="I166" s="41"/>
      <c r="J166" s="41"/>
      <c r="K166" s="41"/>
      <c r="L166" s="41"/>
      <c r="M166" s="41"/>
      <c r="N166" s="41"/>
      <c r="O166" s="34"/>
      <c r="P166" s="34"/>
      <c r="S166" s="143" t="s">
        <v>20</v>
      </c>
      <c r="T166" s="21">
        <f>P123</f>
        <v>307500</v>
      </c>
      <c r="V166" s="152"/>
      <c r="W166" s="153"/>
      <c r="Y166" s="153"/>
      <c r="Z166" s="151"/>
      <c r="AA166" s="149"/>
      <c r="AB166" s="162"/>
      <c r="AC166" s="118"/>
      <c r="AD166" s="118"/>
      <c r="AE166" s="118"/>
    </row>
    <row r="167" spans="2:31" x14ac:dyDescent="0.25">
      <c r="B167" s="39" t="s">
        <v>126</v>
      </c>
      <c r="C167" s="41">
        <f t="shared" ref="C167:N167" si="84">C123</f>
        <v>25625</v>
      </c>
      <c r="D167" s="41">
        <f t="shared" si="84"/>
        <v>25625</v>
      </c>
      <c r="E167" s="41">
        <f t="shared" si="84"/>
        <v>25625</v>
      </c>
      <c r="F167" s="41">
        <f t="shared" si="84"/>
        <v>25625</v>
      </c>
      <c r="G167" s="41">
        <f t="shared" si="84"/>
        <v>25625</v>
      </c>
      <c r="H167" s="41">
        <f t="shared" si="84"/>
        <v>25625</v>
      </c>
      <c r="I167" s="41">
        <f t="shared" si="84"/>
        <v>25625</v>
      </c>
      <c r="J167" s="41">
        <f t="shared" si="84"/>
        <v>25625</v>
      </c>
      <c r="K167" s="41">
        <f t="shared" si="84"/>
        <v>25625</v>
      </c>
      <c r="L167" s="41">
        <f t="shared" si="84"/>
        <v>25625</v>
      </c>
      <c r="M167" s="41">
        <f t="shared" si="84"/>
        <v>25625</v>
      </c>
      <c r="N167" s="41">
        <f t="shared" si="84"/>
        <v>25625</v>
      </c>
      <c r="O167" s="34"/>
      <c r="P167" s="34"/>
      <c r="S167" s="143" t="s">
        <v>21</v>
      </c>
      <c r="T167" s="21">
        <f>P124</f>
        <v>123000</v>
      </c>
      <c r="V167" s="148" t="s">
        <v>22</v>
      </c>
      <c r="W167" s="148">
        <f>SUM(W168:W170)</f>
        <v>-943749.12647999986</v>
      </c>
      <c r="X167" s="148">
        <f>SUM(X168:X170)</f>
        <v>0</v>
      </c>
      <c r="Y167" s="148">
        <f>SUM(Y168:Y170)</f>
        <v>-943749.12647999986</v>
      </c>
      <c r="Z167" s="148" t="s">
        <v>23</v>
      </c>
      <c r="AA167" s="149">
        <f>SUM(AA168:AA171)</f>
        <v>114083.98432</v>
      </c>
      <c r="AB167" s="152"/>
    </row>
    <row r="168" spans="2:31" ht="30" x14ac:dyDescent="0.25">
      <c r="B168" s="39" t="s">
        <v>21</v>
      </c>
      <c r="C168" s="41">
        <f t="shared" ref="C168:N168" si="85">C125</f>
        <v>10250</v>
      </c>
      <c r="D168" s="41">
        <f t="shared" si="85"/>
        <v>10250</v>
      </c>
      <c r="E168" s="41">
        <f t="shared" si="85"/>
        <v>10250</v>
      </c>
      <c r="F168" s="41">
        <f t="shared" si="85"/>
        <v>10250</v>
      </c>
      <c r="G168" s="41">
        <f t="shared" si="85"/>
        <v>10250</v>
      </c>
      <c r="H168" s="41">
        <f t="shared" si="85"/>
        <v>10250</v>
      </c>
      <c r="I168" s="41">
        <f t="shared" si="85"/>
        <v>10250</v>
      </c>
      <c r="J168" s="41">
        <f t="shared" si="85"/>
        <v>10250</v>
      </c>
      <c r="K168" s="41">
        <f t="shared" si="85"/>
        <v>10250</v>
      </c>
      <c r="L168" s="41">
        <f t="shared" si="85"/>
        <v>10250</v>
      </c>
      <c r="M168" s="41">
        <f t="shared" si="85"/>
        <v>10250</v>
      </c>
      <c r="N168" s="41">
        <f t="shared" si="85"/>
        <v>10250</v>
      </c>
      <c r="O168" s="34"/>
      <c r="P168" s="34"/>
      <c r="S168" s="143" t="s">
        <v>75</v>
      </c>
      <c r="T168" s="21">
        <f>P121</f>
        <v>11705.95238095238</v>
      </c>
      <c r="V168" s="150" t="s">
        <v>25</v>
      </c>
      <c r="W168" s="150">
        <v>15000</v>
      </c>
      <c r="X168" s="150"/>
      <c r="Y168" s="150">
        <f>W168-X168</f>
        <v>15000</v>
      </c>
      <c r="Z168" s="150" t="s">
        <v>26</v>
      </c>
      <c r="AA168" s="151">
        <v>40000</v>
      </c>
      <c r="AB168" s="152"/>
    </row>
    <row r="169" spans="2:31" x14ac:dyDescent="0.25">
      <c r="B169" s="39" t="s">
        <v>102</v>
      </c>
      <c r="C169" s="41">
        <f t="shared" ref="C169:N169" si="86">C132</f>
        <v>0</v>
      </c>
      <c r="D169" s="41">
        <f t="shared" si="86"/>
        <v>0</v>
      </c>
      <c r="E169" s="41">
        <f t="shared" si="86"/>
        <v>0</v>
      </c>
      <c r="F169" s="41">
        <f t="shared" si="86"/>
        <v>0</v>
      </c>
      <c r="G169" s="41">
        <f t="shared" si="86"/>
        <v>0</v>
      </c>
      <c r="H169" s="41">
        <f t="shared" si="86"/>
        <v>0</v>
      </c>
      <c r="I169" s="41">
        <f t="shared" si="86"/>
        <v>0</v>
      </c>
      <c r="J169" s="41">
        <f t="shared" si="86"/>
        <v>0</v>
      </c>
      <c r="K169" s="41">
        <f t="shared" si="86"/>
        <v>0</v>
      </c>
      <c r="L169" s="41">
        <f t="shared" si="86"/>
        <v>8200</v>
      </c>
      <c r="M169" s="41">
        <f t="shared" si="86"/>
        <v>0</v>
      </c>
      <c r="N169" s="41">
        <f t="shared" si="86"/>
        <v>0</v>
      </c>
      <c r="O169" s="34"/>
      <c r="P169" s="34"/>
      <c r="S169" s="144" t="s">
        <v>76</v>
      </c>
      <c r="T169" s="131">
        <f>SUM(T163:T168)</f>
        <v>556584.33318095235</v>
      </c>
      <c r="V169" s="150" t="s">
        <v>28</v>
      </c>
      <c r="W169" s="150">
        <f>P99</f>
        <v>6555.7439999999997</v>
      </c>
      <c r="X169" s="150"/>
      <c r="Y169" s="150">
        <f>W169-X169</f>
        <v>6555.7439999999997</v>
      </c>
      <c r="Z169" s="150" t="s">
        <v>29</v>
      </c>
      <c r="AA169" s="151">
        <v>0</v>
      </c>
      <c r="AB169" s="162"/>
      <c r="AC169" s="118"/>
      <c r="AD169" s="118"/>
      <c r="AE169" s="118"/>
    </row>
    <row r="170" spans="2:31" x14ac:dyDescent="0.25">
      <c r="B170" s="39" t="s">
        <v>127</v>
      </c>
      <c r="C170" s="41">
        <f t="shared" ref="C170:N170" si="87">C117</f>
        <v>8520</v>
      </c>
      <c r="D170" s="41">
        <f t="shared" si="87"/>
        <v>8520</v>
      </c>
      <c r="E170" s="41">
        <f t="shared" si="87"/>
        <v>8520</v>
      </c>
      <c r="F170" s="41">
        <f t="shared" si="87"/>
        <v>8520</v>
      </c>
      <c r="G170" s="41">
        <f t="shared" si="87"/>
        <v>8520</v>
      </c>
      <c r="H170" s="41">
        <f t="shared" si="87"/>
        <v>8520</v>
      </c>
      <c r="I170" s="41">
        <f t="shared" si="87"/>
        <v>8520</v>
      </c>
      <c r="J170" s="41">
        <f t="shared" si="87"/>
        <v>8520</v>
      </c>
      <c r="K170" s="41">
        <f t="shared" si="87"/>
        <v>8520</v>
      </c>
      <c r="L170" s="41">
        <f t="shared" si="87"/>
        <v>8520</v>
      </c>
      <c r="M170" s="41">
        <f t="shared" si="87"/>
        <v>8520</v>
      </c>
      <c r="N170" s="41">
        <f t="shared" si="87"/>
        <v>8520</v>
      </c>
      <c r="O170" s="34"/>
      <c r="P170" s="34"/>
      <c r="S170" s="154" t="s">
        <v>30</v>
      </c>
      <c r="T170" s="155">
        <f>T162-T169</f>
        <v>-491026.89318095235</v>
      </c>
      <c r="V170" s="150" t="s">
        <v>34</v>
      </c>
      <c r="W170" s="150">
        <f>AE155</f>
        <v>-965304.87047999981</v>
      </c>
      <c r="X170" s="150"/>
      <c r="Y170" s="150">
        <f>W170-X170</f>
        <v>-965304.87047999981</v>
      </c>
      <c r="Z170" s="150" t="s">
        <v>32</v>
      </c>
      <c r="AA170" s="151">
        <f>P156+P125</f>
        <v>9572.9843199999996</v>
      </c>
      <c r="AB170" s="152"/>
    </row>
    <row r="171" spans="2:31" x14ac:dyDescent="0.25">
      <c r="B171" s="39" t="s">
        <v>128</v>
      </c>
      <c r="C171" s="41">
        <f t="shared" ref="C171:N171" si="88">C135</f>
        <v>3566.666666666667</v>
      </c>
      <c r="D171" s="41">
        <f t="shared" si="88"/>
        <v>3566.666666666667</v>
      </c>
      <c r="E171" s="41">
        <f t="shared" si="88"/>
        <v>3566.666666666667</v>
      </c>
      <c r="F171" s="41">
        <f t="shared" si="88"/>
        <v>3566.666666666667</v>
      </c>
      <c r="G171" s="41">
        <f t="shared" si="88"/>
        <v>3566.666666666667</v>
      </c>
      <c r="H171" s="41">
        <f t="shared" si="88"/>
        <v>3566.666666666667</v>
      </c>
      <c r="I171" s="41">
        <f t="shared" si="88"/>
        <v>3566.666666666667</v>
      </c>
      <c r="J171" s="41">
        <f t="shared" si="88"/>
        <v>3566.666666666667</v>
      </c>
      <c r="K171" s="41">
        <f t="shared" si="88"/>
        <v>3566.666666666667</v>
      </c>
      <c r="L171" s="41">
        <f t="shared" si="88"/>
        <v>3566.666666666667</v>
      </c>
      <c r="M171" s="41">
        <f t="shared" si="88"/>
        <v>3566.666666666667</v>
      </c>
      <c r="N171" s="41">
        <f t="shared" si="88"/>
        <v>3566.666666666667</v>
      </c>
      <c r="O171" s="34"/>
      <c r="P171" s="34"/>
      <c r="S171" s="144" t="s">
        <v>33</v>
      </c>
      <c r="T171" s="131">
        <v>0</v>
      </c>
      <c r="V171" s="150"/>
      <c r="W171" s="150"/>
      <c r="X171" s="150"/>
      <c r="Y171" s="150"/>
      <c r="Z171" s="150" t="s">
        <v>221</v>
      </c>
      <c r="AA171" s="151">
        <f>AA81+SUM(T148:AE148)</f>
        <v>64511</v>
      </c>
      <c r="AB171" s="152"/>
    </row>
    <row r="172" spans="2:31" x14ac:dyDescent="0.25">
      <c r="B172" s="39" t="s">
        <v>129</v>
      </c>
      <c r="C172" s="41">
        <f t="shared" ref="C172:N172" si="89">C143</f>
        <v>0</v>
      </c>
      <c r="D172" s="41">
        <f t="shared" si="89"/>
        <v>0</v>
      </c>
      <c r="E172" s="41">
        <f t="shared" si="89"/>
        <v>0</v>
      </c>
      <c r="F172" s="41">
        <f t="shared" si="89"/>
        <v>0</v>
      </c>
      <c r="G172" s="41">
        <f t="shared" si="89"/>
        <v>0</v>
      </c>
      <c r="H172" s="41">
        <f t="shared" si="89"/>
        <v>20400</v>
      </c>
      <c r="I172" s="41">
        <f t="shared" si="89"/>
        <v>0</v>
      </c>
      <c r="J172" s="41">
        <f t="shared" si="89"/>
        <v>0</v>
      </c>
      <c r="K172" s="41">
        <f t="shared" si="89"/>
        <v>0</v>
      </c>
      <c r="L172" s="41">
        <f t="shared" si="89"/>
        <v>0</v>
      </c>
      <c r="M172" s="41">
        <f t="shared" si="89"/>
        <v>0</v>
      </c>
      <c r="N172" s="41">
        <f t="shared" si="89"/>
        <v>0</v>
      </c>
      <c r="O172" s="34"/>
      <c r="P172" s="34"/>
      <c r="S172" s="143" t="s">
        <v>36</v>
      </c>
      <c r="T172" s="21">
        <f>SUM(T151:AE151)+P133</f>
        <v>3158.4700000000016</v>
      </c>
      <c r="V172" s="156" t="s">
        <v>38</v>
      </c>
      <c r="W172" s="156">
        <f>W161+W167</f>
        <v>-690249.12647999986</v>
      </c>
      <c r="X172" s="156">
        <f>X161</f>
        <v>61520.238095238092</v>
      </c>
      <c r="Y172" s="156">
        <f>W172-X172</f>
        <v>-751769.36457523797</v>
      </c>
      <c r="Z172" s="156" t="s">
        <v>39</v>
      </c>
      <c r="AA172" s="157">
        <f>AA161+AA167</f>
        <v>-770791.36457523797</v>
      </c>
      <c r="AB172" s="152"/>
    </row>
    <row r="173" spans="2:31" x14ac:dyDescent="0.25">
      <c r="B173" s="39" t="s">
        <v>130</v>
      </c>
      <c r="C173" s="41">
        <f>C156</f>
        <v>-677.44</v>
      </c>
      <c r="D173" s="41">
        <f t="shared" ref="D173:N173" si="90">D156</f>
        <v>-677.01567999999997</v>
      </c>
      <c r="E173" s="41">
        <f t="shared" si="90"/>
        <v>-677.01567999999997</v>
      </c>
      <c r="F173" s="41">
        <f t="shared" si="90"/>
        <v>-677.01567999999997</v>
      </c>
      <c r="G173" s="41">
        <f t="shared" si="90"/>
        <v>-677.01567999999997</v>
      </c>
      <c r="H173" s="41">
        <f t="shared" si="90"/>
        <v>-677.01567999999997</v>
      </c>
      <c r="I173" s="41">
        <f t="shared" si="90"/>
        <v>-4077.0156800000004</v>
      </c>
      <c r="J173" s="41">
        <f t="shared" si="90"/>
        <v>-677.01567999999997</v>
      </c>
      <c r="K173" s="41">
        <f t="shared" si="90"/>
        <v>-677.01567999999997</v>
      </c>
      <c r="L173" s="41">
        <f t="shared" si="90"/>
        <v>-677.01567999999997</v>
      </c>
      <c r="M173" s="41">
        <f t="shared" si="90"/>
        <v>-677.01567999999997</v>
      </c>
      <c r="N173" s="41">
        <f t="shared" si="90"/>
        <v>-677.01567999999997</v>
      </c>
      <c r="O173" s="34"/>
      <c r="P173" s="34"/>
      <c r="S173" s="144" t="s">
        <v>37</v>
      </c>
      <c r="T173" s="131">
        <f>T172</f>
        <v>3158.4700000000016</v>
      </c>
      <c r="Z173" s="158" t="s">
        <v>42</v>
      </c>
      <c r="AA173" s="159">
        <f>Y172-AA172</f>
        <v>19022</v>
      </c>
    </row>
    <row r="174" spans="2:31" x14ac:dyDescent="0.25">
      <c r="B174" s="59" t="s">
        <v>131</v>
      </c>
      <c r="C174" s="59">
        <f>SUM(C165:C173)</f>
        <v>49382.064746666663</v>
      </c>
      <c r="D174" s="59">
        <f t="shared" ref="D174:N174" si="91">SUM(D165:D173)</f>
        <v>49382.489066666669</v>
      </c>
      <c r="E174" s="59">
        <f t="shared" si="91"/>
        <v>49382.489066666669</v>
      </c>
      <c r="F174" s="59">
        <f t="shared" si="91"/>
        <v>49382.489066666669</v>
      </c>
      <c r="G174" s="59">
        <f t="shared" si="91"/>
        <v>49382.489066666669</v>
      </c>
      <c r="H174" s="59">
        <f t="shared" si="91"/>
        <v>69782.489066666676</v>
      </c>
      <c r="I174" s="59">
        <f t="shared" si="91"/>
        <v>45982.489066666662</v>
      </c>
      <c r="J174" s="59">
        <f t="shared" si="91"/>
        <v>49382.489066666669</v>
      </c>
      <c r="K174" s="59">
        <f t="shared" si="91"/>
        <v>49382.489066666669</v>
      </c>
      <c r="L174" s="59">
        <f t="shared" si="91"/>
        <v>57582.489066666669</v>
      </c>
      <c r="M174" s="59">
        <f t="shared" si="91"/>
        <v>49382.489066666669</v>
      </c>
      <c r="N174" s="59">
        <f t="shared" si="91"/>
        <v>49382.489066666669</v>
      </c>
      <c r="O174" s="34"/>
      <c r="P174" s="34"/>
      <c r="S174" s="154" t="s">
        <v>40</v>
      </c>
      <c r="T174" s="155">
        <f>T171-T173</f>
        <v>-3158.4700000000016</v>
      </c>
    </row>
    <row r="175" spans="2:31" x14ac:dyDescent="0.25">
      <c r="B175" s="59" t="s">
        <v>132</v>
      </c>
      <c r="C175" s="59">
        <f>W80</f>
        <v>-430755.93999999994</v>
      </c>
      <c r="D175" s="59">
        <f t="shared" ref="D175:N175" si="92">C177</f>
        <v>-473773.2047466666</v>
      </c>
      <c r="E175" s="59">
        <f t="shared" si="92"/>
        <v>-516599.94981333328</v>
      </c>
      <c r="F175" s="59">
        <f t="shared" si="92"/>
        <v>-559426.69487999997</v>
      </c>
      <c r="G175" s="59">
        <f t="shared" si="92"/>
        <v>-602253.43994666659</v>
      </c>
      <c r="H175" s="59">
        <f t="shared" si="92"/>
        <v>-645080.18501333322</v>
      </c>
      <c r="I175" s="59">
        <f t="shared" si="92"/>
        <v>-708306.93007999985</v>
      </c>
      <c r="J175" s="59">
        <f t="shared" si="92"/>
        <v>-747733.67514666647</v>
      </c>
      <c r="K175" s="59">
        <f t="shared" si="92"/>
        <v>-790560.4202133331</v>
      </c>
      <c r="L175" s="59">
        <f t="shared" si="92"/>
        <v>-833387.16527999972</v>
      </c>
      <c r="M175" s="59">
        <f t="shared" si="92"/>
        <v>-884413.91034666635</v>
      </c>
      <c r="N175" s="59">
        <f t="shared" si="92"/>
        <v>-927240.65541333298</v>
      </c>
      <c r="O175" s="34"/>
      <c r="P175" s="34"/>
      <c r="S175" s="154" t="s">
        <v>43</v>
      </c>
      <c r="T175" s="155">
        <f>T170-(-T174)</f>
        <v>-494185.36318095238</v>
      </c>
    </row>
    <row r="176" spans="2:31" x14ac:dyDescent="0.25">
      <c r="B176" s="34" t="s">
        <v>133</v>
      </c>
      <c r="C176" s="34">
        <f t="shared" ref="C176:N176" si="93">C164-C174</f>
        <v>-43017.26474666666</v>
      </c>
      <c r="D176" s="34">
        <f t="shared" si="93"/>
        <v>-42826.74506666667</v>
      </c>
      <c r="E176" s="34">
        <f t="shared" si="93"/>
        <v>-42826.74506666667</v>
      </c>
      <c r="F176" s="34">
        <f t="shared" si="93"/>
        <v>-42826.74506666667</v>
      </c>
      <c r="G176" s="34">
        <f t="shared" si="93"/>
        <v>-42826.74506666667</v>
      </c>
      <c r="H176" s="34">
        <f t="shared" si="93"/>
        <v>-63226.745066666677</v>
      </c>
      <c r="I176" s="34">
        <f t="shared" si="93"/>
        <v>-39426.745066666663</v>
      </c>
      <c r="J176" s="34">
        <f t="shared" si="93"/>
        <v>-42826.74506666667</v>
      </c>
      <c r="K176" s="34">
        <f t="shared" si="93"/>
        <v>-42826.74506666667</v>
      </c>
      <c r="L176" s="34">
        <f t="shared" si="93"/>
        <v>-51026.74506666667</v>
      </c>
      <c r="M176" s="34">
        <f t="shared" si="93"/>
        <v>-42826.74506666667</v>
      </c>
      <c r="N176" s="34">
        <f t="shared" si="93"/>
        <v>-42826.74506666667</v>
      </c>
      <c r="O176" s="34"/>
      <c r="P176" s="34"/>
      <c r="S176" s="154" t="s">
        <v>45</v>
      </c>
      <c r="T176" s="21"/>
    </row>
    <row r="177" spans="2:20" x14ac:dyDescent="0.25">
      <c r="B177" s="59" t="s">
        <v>134</v>
      </c>
      <c r="C177" s="59">
        <f t="shared" ref="C177:N177" si="94">C175+C176</f>
        <v>-473773.2047466666</v>
      </c>
      <c r="D177" s="59">
        <f t="shared" si="94"/>
        <v>-516599.94981333328</v>
      </c>
      <c r="E177" s="59">
        <f t="shared" si="94"/>
        <v>-559426.69487999997</v>
      </c>
      <c r="F177" s="59">
        <f t="shared" si="94"/>
        <v>-602253.43994666659</v>
      </c>
      <c r="G177" s="59">
        <f t="shared" si="94"/>
        <v>-645080.18501333322</v>
      </c>
      <c r="H177" s="59">
        <f t="shared" si="94"/>
        <v>-708306.93007999985</v>
      </c>
      <c r="I177" s="59">
        <f t="shared" si="94"/>
        <v>-747733.67514666647</v>
      </c>
      <c r="J177" s="59">
        <f t="shared" si="94"/>
        <v>-790560.4202133331</v>
      </c>
      <c r="K177" s="59">
        <f t="shared" si="94"/>
        <v>-833387.16527999972</v>
      </c>
      <c r="L177" s="59">
        <f t="shared" si="94"/>
        <v>-884413.91034666635</v>
      </c>
      <c r="M177" s="59">
        <f t="shared" si="94"/>
        <v>-927240.65541333298</v>
      </c>
      <c r="N177" s="59">
        <f t="shared" si="94"/>
        <v>-970067.4004799996</v>
      </c>
      <c r="O177" s="60" t="s">
        <v>135</v>
      </c>
      <c r="P177" s="61">
        <f>N177</f>
        <v>-970067.4004799996</v>
      </c>
      <c r="S177" s="160" t="s">
        <v>47</v>
      </c>
      <c r="T177" s="161">
        <f>T175</f>
        <v>-494185.36318095238</v>
      </c>
    </row>
    <row r="180" spans="2:20" ht="28.5" x14ac:dyDescent="0.45">
      <c r="B180" s="289" t="s">
        <v>152</v>
      </c>
      <c r="C180" s="289"/>
      <c r="D180" s="289"/>
      <c r="E180" s="289"/>
      <c r="F180" s="289"/>
      <c r="G180" s="289"/>
      <c r="H180" s="289"/>
      <c r="I180" s="289"/>
      <c r="J180" s="289"/>
      <c r="K180" s="289"/>
      <c r="L180" s="289"/>
      <c r="M180" s="289"/>
      <c r="N180" s="289"/>
      <c r="O180" s="289"/>
      <c r="P180" s="289"/>
    </row>
    <row r="183" spans="2:20" x14ac:dyDescent="0.25">
      <c r="B183" s="288" t="s">
        <v>153</v>
      </c>
      <c r="C183" s="288"/>
      <c r="D183" s="288"/>
      <c r="E183" s="288"/>
      <c r="F183" s="288"/>
      <c r="G183" s="288"/>
      <c r="H183" s="288"/>
      <c r="I183" s="288"/>
      <c r="J183" s="288"/>
      <c r="K183" s="288"/>
      <c r="L183" s="288"/>
      <c r="M183" s="288"/>
      <c r="N183" s="288"/>
      <c r="O183" s="288"/>
      <c r="P183" s="288"/>
    </row>
    <row r="184" spans="2:20" x14ac:dyDescent="0.25">
      <c r="B184" s="213"/>
      <c r="C184" s="215" t="s">
        <v>50</v>
      </c>
      <c r="D184" s="215" t="s">
        <v>51</v>
      </c>
      <c r="E184" s="215" t="s">
        <v>52</v>
      </c>
      <c r="F184" s="215" t="s">
        <v>53</v>
      </c>
      <c r="G184" s="215" t="s">
        <v>54</v>
      </c>
      <c r="H184" s="215" t="s">
        <v>55</v>
      </c>
      <c r="I184" s="215" t="s">
        <v>56</v>
      </c>
      <c r="J184" s="215" t="s">
        <v>57</v>
      </c>
      <c r="K184" s="215" t="s">
        <v>58</v>
      </c>
      <c r="L184" s="215" t="s">
        <v>59</v>
      </c>
      <c r="M184" s="215" t="s">
        <v>60</v>
      </c>
      <c r="N184" s="215" t="s">
        <v>61</v>
      </c>
      <c r="O184" s="220" t="s">
        <v>62</v>
      </c>
      <c r="P184" s="221"/>
    </row>
    <row r="185" spans="2:20" x14ac:dyDescent="0.25">
      <c r="B185" s="214"/>
      <c r="C185" s="216"/>
      <c r="D185" s="216"/>
      <c r="E185" s="216"/>
      <c r="F185" s="216"/>
      <c r="G185" s="216"/>
      <c r="H185" s="216"/>
      <c r="I185" s="216"/>
      <c r="J185" s="216"/>
      <c r="K185" s="216"/>
      <c r="L185" s="216"/>
      <c r="M185" s="216"/>
      <c r="N185" s="216"/>
      <c r="O185" s="58" t="s">
        <v>64</v>
      </c>
      <c r="P185" s="58" t="s">
        <v>65</v>
      </c>
    </row>
    <row r="186" spans="2:20" x14ac:dyDescent="0.25">
      <c r="B186" s="35" t="s">
        <v>66</v>
      </c>
      <c r="C186" s="35">
        <f>$P$96*1.03/12</f>
        <v>5627.013600000002</v>
      </c>
      <c r="D186" s="35">
        <f t="shared" ref="D186:N186" si="95">$P$96*1.03/12</f>
        <v>5627.013600000002</v>
      </c>
      <c r="E186" s="35">
        <f t="shared" si="95"/>
        <v>5627.013600000002</v>
      </c>
      <c r="F186" s="35">
        <f t="shared" si="95"/>
        <v>5627.013600000002</v>
      </c>
      <c r="G186" s="35">
        <f t="shared" si="95"/>
        <v>5627.013600000002</v>
      </c>
      <c r="H186" s="35">
        <f t="shared" si="95"/>
        <v>5627.013600000002</v>
      </c>
      <c r="I186" s="35">
        <f t="shared" si="95"/>
        <v>5627.013600000002</v>
      </c>
      <c r="J186" s="35">
        <f t="shared" si="95"/>
        <v>5627.013600000002</v>
      </c>
      <c r="K186" s="35">
        <f t="shared" si="95"/>
        <v>5627.013600000002</v>
      </c>
      <c r="L186" s="35">
        <f t="shared" si="95"/>
        <v>5627.013600000002</v>
      </c>
      <c r="M186" s="35">
        <f t="shared" si="95"/>
        <v>5627.013600000002</v>
      </c>
      <c r="N186" s="35">
        <f t="shared" si="95"/>
        <v>5627.013600000002</v>
      </c>
      <c r="O186" s="60" t="s">
        <v>1</v>
      </c>
      <c r="P186" s="61">
        <f>SUM(C186:N186)</f>
        <v>67524.163200000039</v>
      </c>
    </row>
    <row r="187" spans="2:20" x14ac:dyDescent="0.25">
      <c r="B187" s="34" t="s">
        <v>68</v>
      </c>
      <c r="C187" s="34">
        <f t="shared" ref="C187:N187" si="96">C186*20%</f>
        <v>1125.4027200000005</v>
      </c>
      <c r="D187" s="34">
        <f t="shared" si="96"/>
        <v>1125.4027200000005</v>
      </c>
      <c r="E187" s="34">
        <f t="shared" si="96"/>
        <v>1125.4027200000005</v>
      </c>
      <c r="F187" s="34">
        <f t="shared" si="96"/>
        <v>1125.4027200000005</v>
      </c>
      <c r="G187" s="34">
        <f t="shared" si="96"/>
        <v>1125.4027200000005</v>
      </c>
      <c r="H187" s="34">
        <f t="shared" si="96"/>
        <v>1125.4027200000005</v>
      </c>
      <c r="I187" s="34">
        <f t="shared" si="96"/>
        <v>1125.4027200000005</v>
      </c>
      <c r="J187" s="34">
        <f t="shared" si="96"/>
        <v>1125.4027200000005</v>
      </c>
      <c r="K187" s="34">
        <f t="shared" si="96"/>
        <v>1125.4027200000005</v>
      </c>
      <c r="L187" s="34">
        <f t="shared" si="96"/>
        <v>1125.4027200000005</v>
      </c>
      <c r="M187" s="34">
        <f t="shared" si="96"/>
        <v>1125.4027200000005</v>
      </c>
      <c r="N187" s="34">
        <f t="shared" si="96"/>
        <v>1125.4027200000005</v>
      </c>
      <c r="O187" s="34"/>
      <c r="P187" s="34"/>
    </row>
    <row r="188" spans="2:20" x14ac:dyDescent="0.25">
      <c r="B188" s="34" t="s">
        <v>69</v>
      </c>
      <c r="C188" s="34">
        <f t="shared" ref="C188:N188" si="97">C186+C187</f>
        <v>6752.4163200000021</v>
      </c>
      <c r="D188" s="34">
        <f t="shared" si="97"/>
        <v>6752.4163200000021</v>
      </c>
      <c r="E188" s="34">
        <f t="shared" si="97"/>
        <v>6752.4163200000021</v>
      </c>
      <c r="F188" s="34">
        <f t="shared" si="97"/>
        <v>6752.4163200000021</v>
      </c>
      <c r="G188" s="34">
        <f t="shared" si="97"/>
        <v>6752.4163200000021</v>
      </c>
      <c r="H188" s="34">
        <f t="shared" si="97"/>
        <v>6752.4163200000021</v>
      </c>
      <c r="I188" s="34">
        <f t="shared" si="97"/>
        <v>6752.4163200000021</v>
      </c>
      <c r="J188" s="34">
        <f t="shared" si="97"/>
        <v>6752.4163200000021</v>
      </c>
      <c r="K188" s="34">
        <f t="shared" si="97"/>
        <v>6752.4163200000021</v>
      </c>
      <c r="L188" s="34">
        <f t="shared" si="97"/>
        <v>6752.4163200000021</v>
      </c>
      <c r="M188" s="34">
        <f t="shared" si="97"/>
        <v>6752.4163200000021</v>
      </c>
      <c r="N188" s="34">
        <f t="shared" si="97"/>
        <v>6752.4163200000021</v>
      </c>
      <c r="O188" s="34"/>
      <c r="P188" s="34"/>
    </row>
    <row r="189" spans="2:20" x14ac:dyDescent="0.25">
      <c r="B189" s="59" t="s">
        <v>139</v>
      </c>
      <c r="C189" s="59">
        <f>Y169</f>
        <v>6555.7439999999997</v>
      </c>
      <c r="D189" s="59">
        <f t="shared" ref="D189:N189" si="98">C188</f>
        <v>6752.4163200000021</v>
      </c>
      <c r="E189" s="59">
        <f t="shared" si="98"/>
        <v>6752.4163200000021</v>
      </c>
      <c r="F189" s="59">
        <f t="shared" si="98"/>
        <v>6752.4163200000021</v>
      </c>
      <c r="G189" s="59">
        <f t="shared" si="98"/>
        <v>6752.4163200000021</v>
      </c>
      <c r="H189" s="59">
        <f t="shared" si="98"/>
        <v>6752.4163200000021</v>
      </c>
      <c r="I189" s="59">
        <f t="shared" si="98"/>
        <v>6752.4163200000021</v>
      </c>
      <c r="J189" s="59">
        <f t="shared" si="98"/>
        <v>6752.4163200000021</v>
      </c>
      <c r="K189" s="59">
        <f t="shared" si="98"/>
        <v>6752.4163200000021</v>
      </c>
      <c r="L189" s="59">
        <f t="shared" si="98"/>
        <v>6752.4163200000021</v>
      </c>
      <c r="M189" s="59">
        <f t="shared" si="98"/>
        <v>6752.4163200000021</v>
      </c>
      <c r="N189" s="59">
        <f t="shared" si="98"/>
        <v>6752.4163200000021</v>
      </c>
      <c r="O189" s="60" t="s">
        <v>72</v>
      </c>
      <c r="P189" s="61">
        <f>N188</f>
        <v>6752.4163200000021</v>
      </c>
    </row>
    <row r="192" spans="2:20" x14ac:dyDescent="0.25">
      <c r="B192" s="288" t="s">
        <v>155</v>
      </c>
      <c r="C192" s="288"/>
      <c r="D192" s="288"/>
      <c r="E192" s="288"/>
      <c r="F192" s="288"/>
      <c r="G192" s="288"/>
      <c r="H192" s="288"/>
      <c r="I192" s="288"/>
      <c r="J192" s="288"/>
      <c r="K192" s="288"/>
      <c r="L192" s="288"/>
      <c r="M192" s="288"/>
      <c r="N192" s="288"/>
      <c r="O192" s="288"/>
      <c r="P192" s="288"/>
    </row>
    <row r="193" spans="2:16" x14ac:dyDescent="0.25">
      <c r="B193" s="213"/>
      <c r="C193" s="215" t="s">
        <v>50</v>
      </c>
      <c r="D193" s="215" t="s">
        <v>51</v>
      </c>
      <c r="E193" s="215" t="s">
        <v>52</v>
      </c>
      <c r="F193" s="215" t="s">
        <v>53</v>
      </c>
      <c r="G193" s="215" t="s">
        <v>54</v>
      </c>
      <c r="H193" s="215" t="s">
        <v>55</v>
      </c>
      <c r="I193" s="215" t="s">
        <v>56</v>
      </c>
      <c r="J193" s="215" t="s">
        <v>57</v>
      </c>
      <c r="K193" s="215" t="s">
        <v>58</v>
      </c>
      <c r="L193" s="215" t="s">
        <v>59</v>
      </c>
      <c r="M193" s="215" t="s">
        <v>60</v>
      </c>
      <c r="N193" s="215" t="s">
        <v>61</v>
      </c>
      <c r="O193" s="220" t="s">
        <v>62</v>
      </c>
      <c r="P193" s="221"/>
    </row>
    <row r="194" spans="2:16" x14ac:dyDescent="0.25">
      <c r="B194" s="214"/>
      <c r="C194" s="216"/>
      <c r="D194" s="216"/>
      <c r="E194" s="216"/>
      <c r="F194" s="216"/>
      <c r="G194" s="216"/>
      <c r="H194" s="216"/>
      <c r="I194" s="216"/>
      <c r="J194" s="216"/>
      <c r="K194" s="216"/>
      <c r="L194" s="216"/>
      <c r="M194" s="216"/>
      <c r="N194" s="216"/>
      <c r="O194" s="58" t="s">
        <v>64</v>
      </c>
      <c r="P194" s="58" t="s">
        <v>65</v>
      </c>
    </row>
    <row r="195" spans="2:16" x14ac:dyDescent="0.25">
      <c r="B195" s="35" t="s">
        <v>77</v>
      </c>
      <c r="C195" s="35">
        <f t="shared" ref="C195:N195" si="99">C186*34%</f>
        <v>1913.1846240000009</v>
      </c>
      <c r="D195" s="35">
        <f t="shared" si="99"/>
        <v>1913.1846240000009</v>
      </c>
      <c r="E195" s="35">
        <f t="shared" si="99"/>
        <v>1913.1846240000009</v>
      </c>
      <c r="F195" s="35">
        <f t="shared" si="99"/>
        <v>1913.1846240000009</v>
      </c>
      <c r="G195" s="35">
        <f t="shared" si="99"/>
        <v>1913.1846240000009</v>
      </c>
      <c r="H195" s="35">
        <f t="shared" si="99"/>
        <v>1913.1846240000009</v>
      </c>
      <c r="I195" s="35">
        <f t="shared" si="99"/>
        <v>1913.1846240000009</v>
      </c>
      <c r="J195" s="35">
        <f t="shared" si="99"/>
        <v>1913.1846240000009</v>
      </c>
      <c r="K195" s="35">
        <f t="shared" si="99"/>
        <v>1913.1846240000009</v>
      </c>
      <c r="L195" s="35">
        <f t="shared" si="99"/>
        <v>1913.1846240000009</v>
      </c>
      <c r="M195" s="35">
        <f t="shared" si="99"/>
        <v>1913.1846240000009</v>
      </c>
      <c r="N195" s="35">
        <f t="shared" si="99"/>
        <v>1913.1846240000009</v>
      </c>
      <c r="O195" s="60" t="s">
        <v>78</v>
      </c>
      <c r="P195" s="61">
        <f>SUM(C195:N195)</f>
        <v>22958.215488000013</v>
      </c>
    </row>
    <row r="196" spans="2:16" x14ac:dyDescent="0.25">
      <c r="B196" s="34" t="s">
        <v>79</v>
      </c>
      <c r="C196" s="34">
        <f t="shared" ref="C196:N196" si="100">C195*20%</f>
        <v>382.6369248000002</v>
      </c>
      <c r="D196" s="34">
        <f t="shared" si="100"/>
        <v>382.6369248000002</v>
      </c>
      <c r="E196" s="34">
        <f t="shared" si="100"/>
        <v>382.6369248000002</v>
      </c>
      <c r="F196" s="34">
        <f t="shared" si="100"/>
        <v>382.6369248000002</v>
      </c>
      <c r="G196" s="34">
        <f t="shared" si="100"/>
        <v>382.6369248000002</v>
      </c>
      <c r="H196" s="34">
        <f t="shared" si="100"/>
        <v>382.6369248000002</v>
      </c>
      <c r="I196" s="34">
        <f t="shared" si="100"/>
        <v>382.6369248000002</v>
      </c>
      <c r="J196" s="34">
        <f t="shared" si="100"/>
        <v>382.6369248000002</v>
      </c>
      <c r="K196" s="34">
        <f t="shared" si="100"/>
        <v>382.6369248000002</v>
      </c>
      <c r="L196" s="34">
        <f t="shared" si="100"/>
        <v>382.6369248000002</v>
      </c>
      <c r="M196" s="34">
        <f t="shared" si="100"/>
        <v>382.6369248000002</v>
      </c>
      <c r="N196" s="34">
        <f t="shared" si="100"/>
        <v>382.6369248000002</v>
      </c>
      <c r="O196" s="34"/>
      <c r="P196" s="34"/>
    </row>
    <row r="197" spans="2:16" x14ac:dyDescent="0.25">
      <c r="B197" s="34" t="s">
        <v>80</v>
      </c>
      <c r="C197" s="34">
        <f t="shared" ref="C197:N197" si="101">C195+C196</f>
        <v>2295.821548800001</v>
      </c>
      <c r="D197" s="34">
        <f t="shared" si="101"/>
        <v>2295.821548800001</v>
      </c>
      <c r="E197" s="34">
        <f t="shared" si="101"/>
        <v>2295.821548800001</v>
      </c>
      <c r="F197" s="34">
        <f t="shared" si="101"/>
        <v>2295.821548800001</v>
      </c>
      <c r="G197" s="34">
        <f t="shared" si="101"/>
        <v>2295.821548800001</v>
      </c>
      <c r="H197" s="34">
        <f t="shared" si="101"/>
        <v>2295.821548800001</v>
      </c>
      <c r="I197" s="34">
        <f t="shared" si="101"/>
        <v>2295.821548800001</v>
      </c>
      <c r="J197" s="34">
        <f t="shared" si="101"/>
        <v>2295.821548800001</v>
      </c>
      <c r="K197" s="34">
        <f t="shared" si="101"/>
        <v>2295.821548800001</v>
      </c>
      <c r="L197" s="34">
        <f t="shared" si="101"/>
        <v>2295.821548800001</v>
      </c>
      <c r="M197" s="34">
        <f t="shared" si="101"/>
        <v>2295.821548800001</v>
      </c>
      <c r="N197" s="34">
        <f t="shared" si="101"/>
        <v>2295.821548800001</v>
      </c>
      <c r="O197" s="34"/>
      <c r="P197" s="34"/>
    </row>
    <row r="198" spans="2:16" x14ac:dyDescent="0.25">
      <c r="B198" s="59" t="s">
        <v>81</v>
      </c>
      <c r="C198" s="59">
        <f t="shared" ref="C198:N198" si="102">C197</f>
        <v>2295.821548800001</v>
      </c>
      <c r="D198" s="59">
        <f t="shared" si="102"/>
        <v>2295.821548800001</v>
      </c>
      <c r="E198" s="59">
        <f t="shared" si="102"/>
        <v>2295.821548800001</v>
      </c>
      <c r="F198" s="59">
        <f t="shared" si="102"/>
        <v>2295.821548800001</v>
      </c>
      <c r="G198" s="59">
        <f t="shared" si="102"/>
        <v>2295.821548800001</v>
      </c>
      <c r="H198" s="59">
        <f t="shared" si="102"/>
        <v>2295.821548800001</v>
      </c>
      <c r="I198" s="59">
        <f t="shared" si="102"/>
        <v>2295.821548800001</v>
      </c>
      <c r="J198" s="59">
        <f t="shared" si="102"/>
        <v>2295.821548800001</v>
      </c>
      <c r="K198" s="59">
        <f t="shared" si="102"/>
        <v>2295.821548800001</v>
      </c>
      <c r="L198" s="59">
        <f t="shared" si="102"/>
        <v>2295.821548800001</v>
      </c>
      <c r="M198" s="59">
        <f t="shared" si="102"/>
        <v>2295.821548800001</v>
      </c>
      <c r="N198" s="59">
        <f t="shared" si="102"/>
        <v>2295.821548800001</v>
      </c>
      <c r="O198" s="60" t="s">
        <v>82</v>
      </c>
      <c r="P198" s="61">
        <v>0</v>
      </c>
    </row>
    <row r="201" spans="2:16" x14ac:dyDescent="0.25">
      <c r="B201" s="288" t="s">
        <v>156</v>
      </c>
      <c r="C201" s="288"/>
      <c r="D201" s="288"/>
      <c r="E201" s="288"/>
      <c r="F201" s="288"/>
      <c r="G201" s="288"/>
      <c r="H201" s="288"/>
      <c r="I201" s="288"/>
      <c r="J201" s="288"/>
      <c r="K201" s="288"/>
      <c r="L201" s="288"/>
      <c r="M201" s="288"/>
      <c r="N201" s="288"/>
      <c r="O201" s="288"/>
      <c r="P201" s="288"/>
    </row>
    <row r="202" spans="2:16" x14ac:dyDescent="0.25">
      <c r="B202" s="213"/>
      <c r="C202" s="215" t="s">
        <v>50</v>
      </c>
      <c r="D202" s="215" t="s">
        <v>51</v>
      </c>
      <c r="E202" s="215" t="s">
        <v>52</v>
      </c>
      <c r="F202" s="215" t="s">
        <v>53</v>
      </c>
      <c r="G202" s="215" t="s">
        <v>54</v>
      </c>
      <c r="H202" s="215" t="s">
        <v>55</v>
      </c>
      <c r="I202" s="215" t="s">
        <v>56</v>
      </c>
      <c r="J202" s="215" t="s">
        <v>57</v>
      </c>
      <c r="K202" s="215" t="s">
        <v>58</v>
      </c>
      <c r="L202" s="215" t="s">
        <v>59</v>
      </c>
      <c r="M202" s="215" t="s">
        <v>60</v>
      </c>
      <c r="N202" s="215" t="s">
        <v>61</v>
      </c>
      <c r="O202" s="220" t="s">
        <v>62</v>
      </c>
      <c r="P202" s="221"/>
    </row>
    <row r="203" spans="2:16" x14ac:dyDescent="0.25">
      <c r="B203" s="231"/>
      <c r="C203" s="232"/>
      <c r="D203" s="232"/>
      <c r="E203" s="232"/>
      <c r="F203" s="232"/>
      <c r="G203" s="232"/>
      <c r="H203" s="232"/>
      <c r="I203" s="232"/>
      <c r="J203" s="232"/>
      <c r="K203" s="232"/>
      <c r="L203" s="232"/>
      <c r="M203" s="232"/>
      <c r="N203" s="232"/>
      <c r="O203" s="58" t="s">
        <v>64</v>
      </c>
      <c r="P203" s="58" t="s">
        <v>65</v>
      </c>
    </row>
    <row r="204" spans="2:16" x14ac:dyDescent="0.25">
      <c r="B204" s="21" t="s">
        <v>84</v>
      </c>
      <c r="C204" s="21">
        <v>7100</v>
      </c>
      <c r="D204" s="21">
        <v>7100</v>
      </c>
      <c r="E204" s="21">
        <v>7100</v>
      </c>
      <c r="F204" s="21">
        <v>7100</v>
      </c>
      <c r="G204" s="21">
        <v>7100</v>
      </c>
      <c r="H204" s="21">
        <v>7100</v>
      </c>
      <c r="I204" s="21">
        <v>7100</v>
      </c>
      <c r="J204" s="21">
        <v>7100</v>
      </c>
      <c r="K204" s="21">
        <v>7100</v>
      </c>
      <c r="L204" s="21">
        <v>7100</v>
      </c>
      <c r="M204" s="21">
        <v>7100</v>
      </c>
      <c r="N204" s="22">
        <v>7100</v>
      </c>
      <c r="O204" s="60" t="s">
        <v>85</v>
      </c>
      <c r="P204" s="61">
        <f>SUM(C204:N204)</f>
        <v>85200</v>
      </c>
    </row>
    <row r="205" spans="2:16" x14ac:dyDescent="0.25">
      <c r="B205" s="21" t="s">
        <v>86</v>
      </c>
      <c r="C205" s="21">
        <f t="shared" ref="C205:N205" si="103">C204*20%</f>
        <v>1420</v>
      </c>
      <c r="D205" s="21">
        <f t="shared" si="103"/>
        <v>1420</v>
      </c>
      <c r="E205" s="21">
        <f t="shared" si="103"/>
        <v>1420</v>
      </c>
      <c r="F205" s="21">
        <f t="shared" si="103"/>
        <v>1420</v>
      </c>
      <c r="G205" s="21">
        <f t="shared" si="103"/>
        <v>1420</v>
      </c>
      <c r="H205" s="21">
        <f t="shared" si="103"/>
        <v>1420</v>
      </c>
      <c r="I205" s="21">
        <f t="shared" si="103"/>
        <v>1420</v>
      </c>
      <c r="J205" s="21">
        <f t="shared" si="103"/>
        <v>1420</v>
      </c>
      <c r="K205" s="21">
        <f t="shared" si="103"/>
        <v>1420</v>
      </c>
      <c r="L205" s="21">
        <f t="shared" si="103"/>
        <v>1420</v>
      </c>
      <c r="M205" s="21">
        <f t="shared" si="103"/>
        <v>1420</v>
      </c>
      <c r="N205" s="22">
        <f t="shared" si="103"/>
        <v>1420</v>
      </c>
      <c r="O205" s="47"/>
      <c r="P205" s="48"/>
    </row>
    <row r="206" spans="2:16" x14ac:dyDescent="0.25">
      <c r="B206" s="23" t="s">
        <v>87</v>
      </c>
      <c r="C206" s="23">
        <f t="shared" ref="C206:N206" si="104">C204+C205</f>
        <v>8520</v>
      </c>
      <c r="D206" s="23">
        <f t="shared" si="104"/>
        <v>8520</v>
      </c>
      <c r="E206" s="23">
        <f t="shared" si="104"/>
        <v>8520</v>
      </c>
      <c r="F206" s="23">
        <f t="shared" si="104"/>
        <v>8520</v>
      </c>
      <c r="G206" s="23">
        <f t="shared" si="104"/>
        <v>8520</v>
      </c>
      <c r="H206" s="23">
        <f t="shared" si="104"/>
        <v>8520</v>
      </c>
      <c r="I206" s="23">
        <f t="shared" si="104"/>
        <v>8520</v>
      </c>
      <c r="J206" s="23">
        <f t="shared" si="104"/>
        <v>8520</v>
      </c>
      <c r="K206" s="23">
        <f t="shared" si="104"/>
        <v>8520</v>
      </c>
      <c r="L206" s="23">
        <f t="shared" si="104"/>
        <v>8520</v>
      </c>
      <c r="M206" s="23">
        <f t="shared" si="104"/>
        <v>8520</v>
      </c>
      <c r="N206" s="25">
        <f t="shared" si="104"/>
        <v>8520</v>
      </c>
      <c r="O206" s="34"/>
      <c r="P206" s="34"/>
    </row>
    <row r="207" spans="2:16" x14ac:dyDescent="0.25">
      <c r="B207" s="59" t="s">
        <v>81</v>
      </c>
      <c r="C207" s="59">
        <f t="shared" ref="C207:N207" si="105">+C204+C205</f>
        <v>8520</v>
      </c>
      <c r="D207" s="59">
        <f t="shared" si="105"/>
        <v>8520</v>
      </c>
      <c r="E207" s="59">
        <f t="shared" si="105"/>
        <v>8520</v>
      </c>
      <c r="F207" s="59">
        <f t="shared" si="105"/>
        <v>8520</v>
      </c>
      <c r="G207" s="59">
        <f t="shared" si="105"/>
        <v>8520</v>
      </c>
      <c r="H207" s="59">
        <f t="shared" si="105"/>
        <v>8520</v>
      </c>
      <c r="I207" s="59">
        <f t="shared" si="105"/>
        <v>8520</v>
      </c>
      <c r="J207" s="59">
        <f t="shared" si="105"/>
        <v>8520</v>
      </c>
      <c r="K207" s="59">
        <f t="shared" si="105"/>
        <v>8520</v>
      </c>
      <c r="L207" s="59">
        <f t="shared" si="105"/>
        <v>8520</v>
      </c>
      <c r="M207" s="59">
        <f t="shared" si="105"/>
        <v>8520</v>
      </c>
      <c r="N207" s="59">
        <f t="shared" si="105"/>
        <v>8520</v>
      </c>
      <c r="O207" s="47"/>
      <c r="P207" s="34"/>
    </row>
    <row r="208" spans="2:16" x14ac:dyDescent="0.25">
      <c r="B208" s="28" t="s">
        <v>89</v>
      </c>
      <c r="C208" s="21"/>
      <c r="D208" s="21"/>
      <c r="E208" s="21"/>
      <c r="F208" s="21"/>
      <c r="G208" s="21"/>
      <c r="H208" s="21"/>
      <c r="I208" s="21"/>
      <c r="J208" s="21"/>
      <c r="K208" s="21"/>
      <c r="L208" s="21"/>
      <c r="M208" s="21"/>
      <c r="N208" s="22">
        <v>7500</v>
      </c>
      <c r="O208" s="47"/>
      <c r="P208" s="48"/>
    </row>
    <row r="209" spans="2:16" x14ac:dyDescent="0.25">
      <c r="B209" s="26" t="s">
        <v>144</v>
      </c>
      <c r="C209" s="27"/>
      <c r="D209" s="21"/>
      <c r="E209" s="21"/>
      <c r="F209" s="21"/>
      <c r="G209" s="21"/>
      <c r="H209" s="21"/>
      <c r="I209" s="21"/>
      <c r="J209" s="21"/>
      <c r="K209" s="21"/>
      <c r="L209" s="21"/>
      <c r="M209" s="21"/>
      <c r="N209" s="22">
        <f>Emprunt!K6</f>
        <v>3214.2857142857142</v>
      </c>
      <c r="O209" s="195" t="s">
        <v>90</v>
      </c>
      <c r="P209" s="196">
        <f>N209</f>
        <v>3214.2857142857142</v>
      </c>
    </row>
    <row r="210" spans="2:16" x14ac:dyDescent="0.25">
      <c r="B210" s="30" t="s">
        <v>145</v>
      </c>
      <c r="C210" s="31"/>
      <c r="D210" s="31"/>
      <c r="E210" s="31"/>
      <c r="F210" s="31"/>
      <c r="G210" s="31"/>
      <c r="H210" s="31"/>
      <c r="I210" s="31"/>
      <c r="J210" s="31"/>
      <c r="K210" s="31"/>
      <c r="L210" s="31"/>
      <c r="M210" s="31"/>
      <c r="N210" s="32">
        <f>Emprunt!K15</f>
        <v>1700</v>
      </c>
      <c r="O210" s="195" t="s">
        <v>90</v>
      </c>
      <c r="P210" s="196">
        <f>N210</f>
        <v>1700</v>
      </c>
    </row>
    <row r="211" spans="2:16" x14ac:dyDescent="0.25">
      <c r="B211" s="24" t="s">
        <v>158</v>
      </c>
      <c r="C211" s="21"/>
      <c r="D211" s="21"/>
      <c r="E211" s="21"/>
      <c r="F211" s="21"/>
      <c r="G211" s="21"/>
      <c r="H211" s="21"/>
      <c r="I211" s="21"/>
      <c r="J211" s="21"/>
      <c r="K211" s="21"/>
      <c r="L211" s="21"/>
      <c r="M211" s="21"/>
      <c r="N211" s="32">
        <f>Emprunt!K28</f>
        <v>3200</v>
      </c>
      <c r="O211" s="195" t="s">
        <v>90</v>
      </c>
      <c r="P211" s="196">
        <f>N211</f>
        <v>3200</v>
      </c>
    </row>
    <row r="212" spans="2:16" x14ac:dyDescent="0.25">
      <c r="B212" s="59" t="s">
        <v>94</v>
      </c>
      <c r="C212" s="59">
        <f t="shared" ref="C212:M212" si="106">C208+C209</f>
        <v>0</v>
      </c>
      <c r="D212" s="59">
        <f t="shared" si="106"/>
        <v>0</v>
      </c>
      <c r="E212" s="59">
        <f t="shared" si="106"/>
        <v>0</v>
      </c>
      <c r="F212" s="59">
        <f t="shared" si="106"/>
        <v>0</v>
      </c>
      <c r="G212" s="59">
        <f t="shared" si="106"/>
        <v>0</v>
      </c>
      <c r="H212" s="59">
        <f t="shared" si="106"/>
        <v>0</v>
      </c>
      <c r="I212" s="59">
        <f t="shared" si="106"/>
        <v>0</v>
      </c>
      <c r="J212" s="59">
        <f t="shared" si="106"/>
        <v>0</v>
      </c>
      <c r="K212" s="59">
        <f t="shared" si="106"/>
        <v>0</v>
      </c>
      <c r="L212" s="59">
        <f t="shared" si="106"/>
        <v>0</v>
      </c>
      <c r="M212" s="59">
        <f t="shared" si="106"/>
        <v>0</v>
      </c>
      <c r="N212" s="59">
        <f>N208+N209+N210+N211</f>
        <v>15614.285714285714</v>
      </c>
      <c r="O212" s="60" t="s">
        <v>93</v>
      </c>
      <c r="P212" s="61">
        <f>SUM(C212:N212)</f>
        <v>15614.285714285714</v>
      </c>
    </row>
    <row r="213" spans="2:16" x14ac:dyDescent="0.25">
      <c r="B213" s="21" t="s">
        <v>95</v>
      </c>
      <c r="C213" s="21">
        <f t="shared" ref="C213:N213" si="107">307500/12</f>
        <v>25625</v>
      </c>
      <c r="D213" s="21">
        <f t="shared" si="107"/>
        <v>25625</v>
      </c>
      <c r="E213" s="21">
        <f t="shared" si="107"/>
        <v>25625</v>
      </c>
      <c r="F213" s="21">
        <f t="shared" si="107"/>
        <v>25625</v>
      </c>
      <c r="G213" s="21">
        <f t="shared" si="107"/>
        <v>25625</v>
      </c>
      <c r="H213" s="21">
        <f t="shared" si="107"/>
        <v>25625</v>
      </c>
      <c r="I213" s="21">
        <f t="shared" si="107"/>
        <v>25625</v>
      </c>
      <c r="J213" s="21">
        <f t="shared" si="107"/>
        <v>25625</v>
      </c>
      <c r="K213" s="21">
        <f t="shared" si="107"/>
        <v>25625</v>
      </c>
      <c r="L213" s="21">
        <f t="shared" si="107"/>
        <v>25625</v>
      </c>
      <c r="M213" s="21">
        <f t="shared" si="107"/>
        <v>25625</v>
      </c>
      <c r="N213" s="22">
        <f t="shared" si="107"/>
        <v>25625</v>
      </c>
      <c r="O213" s="47"/>
      <c r="P213" s="48"/>
    </row>
    <row r="214" spans="2:16" x14ac:dyDescent="0.25">
      <c r="B214" s="59" t="s">
        <v>96</v>
      </c>
      <c r="C214" s="59">
        <f t="shared" ref="C214:N214" si="108">C213</f>
        <v>25625</v>
      </c>
      <c r="D214" s="59">
        <f t="shared" si="108"/>
        <v>25625</v>
      </c>
      <c r="E214" s="59">
        <f t="shared" si="108"/>
        <v>25625</v>
      </c>
      <c r="F214" s="59">
        <f t="shared" si="108"/>
        <v>25625</v>
      </c>
      <c r="G214" s="59">
        <f t="shared" si="108"/>
        <v>25625</v>
      </c>
      <c r="H214" s="59">
        <f t="shared" si="108"/>
        <v>25625</v>
      </c>
      <c r="I214" s="59">
        <f t="shared" si="108"/>
        <v>25625</v>
      </c>
      <c r="J214" s="59">
        <f t="shared" si="108"/>
        <v>25625</v>
      </c>
      <c r="K214" s="59">
        <f t="shared" si="108"/>
        <v>25625</v>
      </c>
      <c r="L214" s="59">
        <f t="shared" si="108"/>
        <v>25625</v>
      </c>
      <c r="M214" s="59">
        <f t="shared" si="108"/>
        <v>25625</v>
      </c>
      <c r="N214" s="59">
        <f t="shared" si="108"/>
        <v>25625</v>
      </c>
      <c r="O214" s="60" t="s">
        <v>97</v>
      </c>
      <c r="P214" s="61">
        <f>SUM(C214:N214)</f>
        <v>307500</v>
      </c>
    </row>
    <row r="215" spans="2:16" x14ac:dyDescent="0.25">
      <c r="B215" s="21" t="s">
        <v>21</v>
      </c>
      <c r="C215" s="21">
        <f t="shared" ref="C215:N215" si="109">C213*0.4</f>
        <v>10250</v>
      </c>
      <c r="D215" s="21">
        <f t="shared" si="109"/>
        <v>10250</v>
      </c>
      <c r="E215" s="21">
        <f t="shared" si="109"/>
        <v>10250</v>
      </c>
      <c r="F215" s="21">
        <f t="shared" si="109"/>
        <v>10250</v>
      </c>
      <c r="G215" s="21">
        <f t="shared" si="109"/>
        <v>10250</v>
      </c>
      <c r="H215" s="21">
        <f t="shared" si="109"/>
        <v>10250</v>
      </c>
      <c r="I215" s="21">
        <f t="shared" si="109"/>
        <v>10250</v>
      </c>
      <c r="J215" s="21">
        <f t="shared" si="109"/>
        <v>10250</v>
      </c>
      <c r="K215" s="21">
        <f t="shared" si="109"/>
        <v>10250</v>
      </c>
      <c r="L215" s="21">
        <f t="shared" si="109"/>
        <v>10250</v>
      </c>
      <c r="M215" s="21">
        <f t="shared" si="109"/>
        <v>10250</v>
      </c>
      <c r="N215" s="22">
        <f t="shared" si="109"/>
        <v>10250</v>
      </c>
      <c r="O215" s="60" t="s">
        <v>98</v>
      </c>
      <c r="P215" s="61">
        <f>SUM(C215:N215)</f>
        <v>123000</v>
      </c>
    </row>
    <row r="216" spans="2:16" x14ac:dyDescent="0.25">
      <c r="B216" s="59" t="s">
        <v>99</v>
      </c>
      <c r="C216" s="59">
        <f>P125</f>
        <v>10250</v>
      </c>
      <c r="D216" s="59">
        <f t="shared" ref="D216:N216" si="110">C215</f>
        <v>10250</v>
      </c>
      <c r="E216" s="59">
        <f t="shared" si="110"/>
        <v>10250</v>
      </c>
      <c r="F216" s="59">
        <f t="shared" si="110"/>
        <v>10250</v>
      </c>
      <c r="G216" s="59">
        <f t="shared" si="110"/>
        <v>10250</v>
      </c>
      <c r="H216" s="59">
        <f t="shared" si="110"/>
        <v>10250</v>
      </c>
      <c r="I216" s="59">
        <f t="shared" si="110"/>
        <v>10250</v>
      </c>
      <c r="J216" s="59">
        <f t="shared" si="110"/>
        <v>10250</v>
      </c>
      <c r="K216" s="59">
        <f t="shared" si="110"/>
        <v>10250</v>
      </c>
      <c r="L216" s="59">
        <f t="shared" si="110"/>
        <v>10250</v>
      </c>
      <c r="M216" s="59">
        <f t="shared" si="110"/>
        <v>10250</v>
      </c>
      <c r="N216" s="59">
        <f t="shared" si="110"/>
        <v>10250</v>
      </c>
      <c r="O216" s="60" t="s">
        <v>100</v>
      </c>
      <c r="P216" s="61">
        <f>N215</f>
        <v>10250</v>
      </c>
    </row>
    <row r="219" spans="2:16" x14ac:dyDescent="0.25">
      <c r="B219" s="288" t="s">
        <v>160</v>
      </c>
      <c r="C219" s="288"/>
      <c r="D219" s="288"/>
      <c r="E219" s="288"/>
      <c r="F219" s="288"/>
      <c r="G219" s="288"/>
      <c r="H219" s="288"/>
      <c r="I219" s="288"/>
      <c r="J219" s="288"/>
      <c r="K219" s="288"/>
      <c r="L219" s="288"/>
      <c r="M219" s="288"/>
      <c r="N219" s="288"/>
      <c r="O219" s="288"/>
      <c r="P219" s="288"/>
    </row>
    <row r="220" spans="2:16" x14ac:dyDescent="0.25">
      <c r="B220" s="213"/>
      <c r="C220" s="215" t="s">
        <v>50</v>
      </c>
      <c r="D220" s="215" t="s">
        <v>51</v>
      </c>
      <c r="E220" s="215" t="s">
        <v>52</v>
      </c>
      <c r="F220" s="215" t="s">
        <v>53</v>
      </c>
      <c r="G220" s="215" t="s">
        <v>54</v>
      </c>
      <c r="H220" s="215" t="s">
        <v>55</v>
      </c>
      <c r="I220" s="215" t="s">
        <v>56</v>
      </c>
      <c r="J220" s="215" t="s">
        <v>57</v>
      </c>
      <c r="K220" s="215" t="s">
        <v>58</v>
      </c>
      <c r="L220" s="215" t="s">
        <v>59</v>
      </c>
      <c r="M220" s="215" t="s">
        <v>60</v>
      </c>
      <c r="N220" s="215" t="s">
        <v>61</v>
      </c>
      <c r="O220" s="220" t="s">
        <v>62</v>
      </c>
      <c r="P220" s="221"/>
    </row>
    <row r="221" spans="2:16" x14ac:dyDescent="0.25">
      <c r="B221" s="214"/>
      <c r="C221" s="216"/>
      <c r="D221" s="216"/>
      <c r="E221" s="216"/>
      <c r="F221" s="216"/>
      <c r="G221" s="216"/>
      <c r="H221" s="216"/>
      <c r="I221" s="216"/>
      <c r="J221" s="216"/>
      <c r="K221" s="216"/>
      <c r="L221" s="216"/>
      <c r="M221" s="216"/>
      <c r="N221" s="216"/>
      <c r="O221" s="58" t="s">
        <v>64</v>
      </c>
      <c r="P221" s="58" t="s">
        <v>65</v>
      </c>
    </row>
    <row r="222" spans="2:16" x14ac:dyDescent="0.25">
      <c r="B222" s="46" t="s">
        <v>102</v>
      </c>
      <c r="C222" s="35"/>
      <c r="D222" s="35"/>
      <c r="E222" s="35"/>
      <c r="F222" s="35"/>
      <c r="G222" s="35"/>
      <c r="H222" s="35"/>
      <c r="I222" s="35"/>
      <c r="J222" s="35"/>
      <c r="K222" s="35"/>
      <c r="L222" s="35">
        <v>8200</v>
      </c>
      <c r="M222" s="35"/>
      <c r="N222" s="35"/>
      <c r="O222" s="60" t="s">
        <v>103</v>
      </c>
      <c r="P222" s="61">
        <f>SUM(C222:N222)</f>
        <v>8200</v>
      </c>
    </row>
    <row r="223" spans="2:16" x14ac:dyDescent="0.25">
      <c r="B223" s="34" t="s">
        <v>105</v>
      </c>
      <c r="C223" s="34"/>
      <c r="D223" s="34"/>
      <c r="E223" s="34"/>
      <c r="F223" s="34"/>
      <c r="G223" s="34"/>
      <c r="H223" s="34"/>
      <c r="I223" s="34"/>
      <c r="J223" s="34"/>
      <c r="K223" s="34"/>
      <c r="L223" s="34">
        <v>8200</v>
      </c>
      <c r="M223" s="34"/>
      <c r="N223" s="34"/>
      <c r="O223" s="34"/>
      <c r="P223" s="34"/>
    </row>
    <row r="224" spans="2:16" x14ac:dyDescent="0.25">
      <c r="B224" s="34" t="s">
        <v>106</v>
      </c>
      <c r="C224" s="34">
        <f>Informations!$D15/12</f>
        <v>116.66666666666669</v>
      </c>
      <c r="D224" s="34">
        <f>Informations!$D15/12</f>
        <v>116.66666666666669</v>
      </c>
      <c r="E224" s="34">
        <f>Informations!$D15/12</f>
        <v>116.66666666666669</v>
      </c>
      <c r="F224" s="34">
        <f>Informations!$D15/12</f>
        <v>116.66666666666669</v>
      </c>
      <c r="G224" s="34">
        <f>Informations!$D15/12</f>
        <v>116.66666666666669</v>
      </c>
      <c r="H224" s="34">
        <f>Informations!$D15/12</f>
        <v>116.66666666666669</v>
      </c>
      <c r="I224" s="34">
        <f>Informations!$D15/12</f>
        <v>116.66666666666669</v>
      </c>
      <c r="J224" s="34">
        <f>Informations!$D15/12</f>
        <v>116.66666666666669</v>
      </c>
      <c r="K224" s="34">
        <f>Informations!$D15/12</f>
        <v>116.66666666666669</v>
      </c>
      <c r="L224" s="34">
        <f>Informations!$D15/12</f>
        <v>116.66666666666669</v>
      </c>
      <c r="M224" s="34">
        <f>Informations!$D15/12</f>
        <v>116.66666666666669</v>
      </c>
      <c r="N224" s="34">
        <f>Informations!$D15/12</f>
        <v>116.66666666666669</v>
      </c>
      <c r="O224" s="60" t="s">
        <v>107</v>
      </c>
      <c r="P224" s="61">
        <f>Informations!D15</f>
        <v>1400.0000000000002</v>
      </c>
    </row>
    <row r="225" spans="2:31" x14ac:dyDescent="0.25">
      <c r="B225" s="34" t="s">
        <v>108</v>
      </c>
      <c r="C225" s="34">
        <f t="shared" ref="C225:N225" si="111">$P$225/12</f>
        <v>3333.3333333333335</v>
      </c>
      <c r="D225" s="34">
        <f t="shared" si="111"/>
        <v>3333.3333333333335</v>
      </c>
      <c r="E225" s="34">
        <f t="shared" si="111"/>
        <v>3333.3333333333335</v>
      </c>
      <c r="F225" s="34">
        <f t="shared" si="111"/>
        <v>3333.3333333333335</v>
      </c>
      <c r="G225" s="34">
        <f t="shared" si="111"/>
        <v>3333.3333333333335</v>
      </c>
      <c r="H225" s="34">
        <f t="shared" si="111"/>
        <v>3333.3333333333335</v>
      </c>
      <c r="I225" s="34">
        <f t="shared" si="111"/>
        <v>3333.3333333333335</v>
      </c>
      <c r="J225" s="34">
        <f t="shared" si="111"/>
        <v>3333.3333333333335</v>
      </c>
      <c r="K225" s="34">
        <f t="shared" si="111"/>
        <v>3333.3333333333335</v>
      </c>
      <c r="L225" s="34">
        <f t="shared" si="111"/>
        <v>3333.3333333333335</v>
      </c>
      <c r="M225" s="34">
        <f t="shared" si="111"/>
        <v>3333.3333333333335</v>
      </c>
      <c r="N225" s="34">
        <f t="shared" si="111"/>
        <v>3333.3333333333335</v>
      </c>
      <c r="O225" s="60" t="s">
        <v>109</v>
      </c>
      <c r="P225" s="61">
        <f>Informations!E15</f>
        <v>40000</v>
      </c>
    </row>
    <row r="226" spans="2:31" x14ac:dyDescent="0.25">
      <c r="B226" s="59" t="s">
        <v>71</v>
      </c>
      <c r="C226" s="59">
        <f t="shared" ref="C226:N226" si="112">C224+C225</f>
        <v>3450</v>
      </c>
      <c r="D226" s="59">
        <f t="shared" si="112"/>
        <v>3450</v>
      </c>
      <c r="E226" s="59">
        <f t="shared" si="112"/>
        <v>3450</v>
      </c>
      <c r="F226" s="59">
        <f t="shared" si="112"/>
        <v>3450</v>
      </c>
      <c r="G226" s="59">
        <f t="shared" si="112"/>
        <v>3450</v>
      </c>
      <c r="H226" s="59">
        <f t="shared" si="112"/>
        <v>3450</v>
      </c>
      <c r="I226" s="59">
        <f t="shared" si="112"/>
        <v>3450</v>
      </c>
      <c r="J226" s="59">
        <f t="shared" si="112"/>
        <v>3450</v>
      </c>
      <c r="K226" s="59">
        <f t="shared" si="112"/>
        <v>3450</v>
      </c>
      <c r="L226" s="59">
        <f t="shared" si="112"/>
        <v>3450</v>
      </c>
      <c r="M226" s="59">
        <f t="shared" si="112"/>
        <v>3450</v>
      </c>
      <c r="N226" s="59">
        <f t="shared" si="112"/>
        <v>3450</v>
      </c>
      <c r="O226" s="38"/>
      <c r="P226" s="38"/>
    </row>
    <row r="229" spans="2:31" x14ac:dyDescent="0.25">
      <c r="B229" s="288" t="s">
        <v>161</v>
      </c>
      <c r="C229" s="288"/>
      <c r="D229" s="288"/>
      <c r="E229" s="288"/>
      <c r="F229" s="288"/>
      <c r="G229" s="288"/>
      <c r="H229" s="288"/>
      <c r="I229" s="288"/>
      <c r="J229" s="288"/>
      <c r="K229" s="288"/>
      <c r="L229" s="288"/>
      <c r="M229" s="288"/>
      <c r="N229" s="288"/>
      <c r="O229" s="288"/>
      <c r="P229" s="288"/>
    </row>
    <row r="230" spans="2:31" x14ac:dyDescent="0.25">
      <c r="B230" s="213"/>
      <c r="C230" s="215" t="s">
        <v>50</v>
      </c>
      <c r="D230" s="215" t="s">
        <v>51</v>
      </c>
      <c r="E230" s="215" t="s">
        <v>52</v>
      </c>
      <c r="F230" s="215" t="s">
        <v>53</v>
      </c>
      <c r="G230" s="215" t="s">
        <v>54</v>
      </c>
      <c r="H230" s="215" t="s">
        <v>55</v>
      </c>
      <c r="I230" s="215" t="s">
        <v>56</v>
      </c>
      <c r="J230" s="215" t="s">
        <v>57</v>
      </c>
      <c r="K230" s="215" t="s">
        <v>58</v>
      </c>
      <c r="L230" s="215" t="s">
        <v>59</v>
      </c>
      <c r="M230" s="215" t="s">
        <v>60</v>
      </c>
      <c r="N230" s="215" t="s">
        <v>61</v>
      </c>
      <c r="O230" s="220" t="s">
        <v>62</v>
      </c>
      <c r="P230" s="221"/>
    </row>
    <row r="231" spans="2:31" x14ac:dyDescent="0.25">
      <c r="B231" s="214"/>
      <c r="C231" s="216"/>
      <c r="D231" s="216"/>
      <c r="E231" s="216"/>
      <c r="F231" s="216"/>
      <c r="G231" s="216"/>
      <c r="H231" s="216"/>
      <c r="I231" s="216"/>
      <c r="J231" s="216"/>
      <c r="K231" s="216"/>
      <c r="L231" s="216"/>
      <c r="M231" s="216"/>
      <c r="N231" s="216"/>
      <c r="O231" s="58" t="s">
        <v>64</v>
      </c>
      <c r="P231" s="58" t="s">
        <v>65</v>
      </c>
    </row>
    <row r="232" spans="2:31" x14ac:dyDescent="0.25">
      <c r="B232" s="35" t="s">
        <v>111</v>
      </c>
      <c r="C232" s="35">
        <f>Emprunt!J28</f>
        <v>22400</v>
      </c>
      <c r="D232" s="35"/>
      <c r="E232" s="35"/>
      <c r="F232" s="35"/>
      <c r="G232" s="35"/>
      <c r="H232" s="35"/>
      <c r="I232" s="35"/>
      <c r="J232" s="35"/>
      <c r="K232" s="35"/>
      <c r="L232" s="35"/>
      <c r="M232" s="35"/>
      <c r="N232" s="35"/>
      <c r="O232" s="60" t="s">
        <v>112</v>
      </c>
      <c r="P232" s="61">
        <f>SUM(C232:N232)</f>
        <v>22400</v>
      </c>
    </row>
    <row r="233" spans="2:31" x14ac:dyDescent="0.25">
      <c r="B233" s="34" t="s">
        <v>113</v>
      </c>
      <c r="C233" s="34">
        <f t="shared" ref="C233:N233" si="113">C232*20%</f>
        <v>4480</v>
      </c>
      <c r="D233" s="34">
        <f t="shared" si="113"/>
        <v>0</v>
      </c>
      <c r="E233" s="34">
        <f t="shared" si="113"/>
        <v>0</v>
      </c>
      <c r="F233" s="34">
        <f t="shared" si="113"/>
        <v>0</v>
      </c>
      <c r="G233" s="34">
        <f t="shared" si="113"/>
        <v>0</v>
      </c>
      <c r="H233" s="34">
        <f t="shared" si="113"/>
        <v>0</v>
      </c>
      <c r="I233" s="34">
        <f t="shared" si="113"/>
        <v>0</v>
      </c>
      <c r="J233" s="34">
        <f t="shared" si="113"/>
        <v>0</v>
      </c>
      <c r="K233" s="34">
        <f t="shared" si="113"/>
        <v>0</v>
      </c>
      <c r="L233" s="34">
        <f t="shared" si="113"/>
        <v>0</v>
      </c>
      <c r="M233" s="34">
        <f t="shared" si="113"/>
        <v>0</v>
      </c>
      <c r="N233" s="34">
        <f t="shared" si="113"/>
        <v>0</v>
      </c>
      <c r="O233" s="34"/>
      <c r="P233" s="34"/>
    </row>
    <row r="234" spans="2:31" x14ac:dyDescent="0.25">
      <c r="B234" s="34" t="s">
        <v>114</v>
      </c>
      <c r="C234" s="34">
        <f t="shared" ref="C234:N234" si="114">C232+C233</f>
        <v>26880</v>
      </c>
      <c r="D234" s="34">
        <f t="shared" si="114"/>
        <v>0</v>
      </c>
      <c r="E234" s="34">
        <f t="shared" si="114"/>
        <v>0</v>
      </c>
      <c r="F234" s="34">
        <f t="shared" si="114"/>
        <v>0</v>
      </c>
      <c r="G234" s="34">
        <f t="shared" si="114"/>
        <v>0</v>
      </c>
      <c r="H234" s="34">
        <f t="shared" si="114"/>
        <v>0</v>
      </c>
      <c r="I234" s="34">
        <f t="shared" si="114"/>
        <v>0</v>
      </c>
      <c r="J234" s="34">
        <f t="shared" si="114"/>
        <v>0</v>
      </c>
      <c r="K234" s="34">
        <f t="shared" si="114"/>
        <v>0</v>
      </c>
      <c r="L234" s="34">
        <f t="shared" si="114"/>
        <v>0</v>
      </c>
      <c r="M234" s="34">
        <f t="shared" si="114"/>
        <v>0</v>
      </c>
      <c r="N234" s="34">
        <f t="shared" si="114"/>
        <v>0</v>
      </c>
      <c r="O234" s="34"/>
      <c r="P234" s="34"/>
      <c r="S234" s="283" t="s">
        <v>203</v>
      </c>
      <c r="T234" s="283" t="s">
        <v>50</v>
      </c>
      <c r="U234" s="283" t="s">
        <v>51</v>
      </c>
      <c r="V234" s="283" t="s">
        <v>52</v>
      </c>
      <c r="W234" s="283" t="s">
        <v>53</v>
      </c>
      <c r="X234" s="283" t="s">
        <v>54</v>
      </c>
      <c r="Y234" s="283" t="s">
        <v>55</v>
      </c>
      <c r="Z234" s="283" t="s">
        <v>56</v>
      </c>
      <c r="AA234" s="283" t="s">
        <v>57</v>
      </c>
      <c r="AB234" s="283" t="s">
        <v>58</v>
      </c>
      <c r="AC234" s="283" t="s">
        <v>59</v>
      </c>
      <c r="AD234" s="283" t="s">
        <v>60</v>
      </c>
      <c r="AE234" s="283" t="s">
        <v>61</v>
      </c>
    </row>
    <row r="235" spans="2:31" x14ac:dyDescent="0.25">
      <c r="B235" s="59" t="s">
        <v>81</v>
      </c>
      <c r="C235" s="59">
        <f t="shared" ref="C235:N235" si="115">C234</f>
        <v>26880</v>
      </c>
      <c r="D235" s="59">
        <f t="shared" si="115"/>
        <v>0</v>
      </c>
      <c r="E235" s="59">
        <f t="shared" si="115"/>
        <v>0</v>
      </c>
      <c r="F235" s="59">
        <f t="shared" si="115"/>
        <v>0</v>
      </c>
      <c r="G235" s="59">
        <f t="shared" si="115"/>
        <v>0</v>
      </c>
      <c r="H235" s="59">
        <f t="shared" si="115"/>
        <v>0</v>
      </c>
      <c r="I235" s="59">
        <f t="shared" si="115"/>
        <v>0</v>
      </c>
      <c r="J235" s="59">
        <f t="shared" si="115"/>
        <v>0</v>
      </c>
      <c r="K235" s="59">
        <f t="shared" si="115"/>
        <v>0</v>
      </c>
      <c r="L235" s="59">
        <f t="shared" si="115"/>
        <v>0</v>
      </c>
      <c r="M235" s="59">
        <f t="shared" si="115"/>
        <v>0</v>
      </c>
      <c r="N235" s="59">
        <f t="shared" si="115"/>
        <v>0</v>
      </c>
      <c r="O235" s="60" t="s">
        <v>220</v>
      </c>
      <c r="P235" s="61">
        <v>0</v>
      </c>
      <c r="S235" s="283"/>
      <c r="T235" s="283"/>
      <c r="U235" s="283"/>
      <c r="V235" s="283"/>
      <c r="W235" s="283"/>
      <c r="X235" s="283"/>
      <c r="Y235" s="283"/>
      <c r="Z235" s="283"/>
      <c r="AA235" s="283"/>
      <c r="AB235" s="283"/>
      <c r="AC235" s="283"/>
      <c r="AD235" s="283"/>
      <c r="AE235" s="283"/>
    </row>
    <row r="236" spans="2:31" x14ac:dyDescent="0.25">
      <c r="S236" s="59" t="s">
        <v>204</v>
      </c>
      <c r="T236" s="59">
        <f t="shared" ref="T236:AE236" si="116">C255</f>
        <v>6555.7439999999997</v>
      </c>
      <c r="U236" s="59">
        <f t="shared" si="116"/>
        <v>6752.4163200000021</v>
      </c>
      <c r="V236" s="59">
        <f t="shared" si="116"/>
        <v>6752.4163200000021</v>
      </c>
      <c r="W236" s="59">
        <f t="shared" si="116"/>
        <v>6752.4163200000021</v>
      </c>
      <c r="X236" s="59">
        <f t="shared" si="116"/>
        <v>6752.4163200000021</v>
      </c>
      <c r="Y236" s="59">
        <f t="shared" si="116"/>
        <v>6752.4163200000021</v>
      </c>
      <c r="Z236" s="59">
        <f t="shared" si="116"/>
        <v>6752.4163200000021</v>
      </c>
      <c r="AA236" s="59">
        <f t="shared" si="116"/>
        <v>6752.4163200000021</v>
      </c>
      <c r="AB236" s="59">
        <f t="shared" si="116"/>
        <v>6752.4163200000021</v>
      </c>
      <c r="AC236" s="59">
        <f t="shared" si="116"/>
        <v>6752.4163200000021</v>
      </c>
      <c r="AD236" s="59">
        <f t="shared" si="116"/>
        <v>6752.4163200000021</v>
      </c>
      <c r="AE236" s="59">
        <f t="shared" si="116"/>
        <v>6752.4163200000021</v>
      </c>
    </row>
    <row r="237" spans="2:31" x14ac:dyDescent="0.25">
      <c r="S237" s="34" t="s">
        <v>205</v>
      </c>
      <c r="T237" s="34"/>
      <c r="U237" s="34"/>
      <c r="V237" s="34"/>
      <c r="W237" s="34"/>
      <c r="X237" s="34"/>
      <c r="Y237" s="34"/>
      <c r="Z237" s="34"/>
      <c r="AA237" s="34"/>
      <c r="AB237" s="34"/>
      <c r="AC237" s="34"/>
      <c r="AD237" s="34"/>
      <c r="AE237" s="34"/>
    </row>
    <row r="238" spans="2:31" x14ac:dyDescent="0.25">
      <c r="B238" s="288" t="s">
        <v>162</v>
      </c>
      <c r="C238" s="288"/>
      <c r="D238" s="288"/>
      <c r="E238" s="288"/>
      <c r="F238" s="288"/>
      <c r="G238" s="288"/>
      <c r="H238" s="288"/>
      <c r="I238" s="288"/>
      <c r="J238" s="288"/>
      <c r="K238" s="288"/>
      <c r="L238" s="288"/>
      <c r="M238" s="288"/>
      <c r="N238" s="288"/>
      <c r="O238" s="288"/>
      <c r="P238" s="288"/>
      <c r="S238" s="34" t="s">
        <v>206</v>
      </c>
      <c r="T238" s="34"/>
      <c r="U238" s="34"/>
      <c r="V238" s="34"/>
      <c r="W238" s="34"/>
      <c r="X238" s="34"/>
      <c r="Y238" s="34"/>
      <c r="Z238" s="34"/>
      <c r="AA238" s="34"/>
      <c r="AB238" s="34"/>
      <c r="AC238" s="34"/>
      <c r="AD238" s="34"/>
      <c r="AE238" s="34"/>
    </row>
    <row r="239" spans="2:31" x14ac:dyDescent="0.25">
      <c r="B239" s="213"/>
      <c r="C239" s="215" t="s">
        <v>50</v>
      </c>
      <c r="D239" s="215" t="s">
        <v>51</v>
      </c>
      <c r="E239" s="215" t="s">
        <v>52</v>
      </c>
      <c r="F239" s="215" t="s">
        <v>53</v>
      </c>
      <c r="G239" s="215" t="s">
        <v>54</v>
      </c>
      <c r="H239" s="215" t="s">
        <v>55</v>
      </c>
      <c r="I239" s="215" t="s">
        <v>56</v>
      </c>
      <c r="J239" s="215" t="s">
        <v>57</v>
      </c>
      <c r="K239" s="215" t="s">
        <v>58</v>
      </c>
      <c r="L239" s="215" t="s">
        <v>59</v>
      </c>
      <c r="M239" s="215" t="s">
        <v>60</v>
      </c>
      <c r="N239" s="215" t="s">
        <v>61</v>
      </c>
      <c r="O239" s="220" t="s">
        <v>62</v>
      </c>
      <c r="P239" s="221"/>
      <c r="S239" s="34" t="s">
        <v>207</v>
      </c>
      <c r="T239" s="34">
        <v>39532</v>
      </c>
      <c r="U239" s="34"/>
      <c r="V239" s="34"/>
      <c r="W239" s="34"/>
      <c r="X239" s="34"/>
      <c r="Y239" s="34"/>
      <c r="Z239" s="34"/>
      <c r="AA239" s="34"/>
      <c r="AB239" s="34"/>
      <c r="AC239" s="34">
        <v>7686</v>
      </c>
      <c r="AD239" s="34">
        <v>671</v>
      </c>
      <c r="AE239" s="34">
        <v>180</v>
      </c>
    </row>
    <row r="240" spans="2:31" x14ac:dyDescent="0.25">
      <c r="B240" s="214"/>
      <c r="C240" s="216"/>
      <c r="D240" s="216"/>
      <c r="E240" s="216"/>
      <c r="F240" s="216"/>
      <c r="G240" s="216"/>
      <c r="H240" s="216"/>
      <c r="I240" s="216"/>
      <c r="J240" s="216"/>
      <c r="K240" s="216"/>
      <c r="L240" s="216"/>
      <c r="M240" s="216"/>
      <c r="N240" s="216"/>
      <c r="O240" s="58" t="s">
        <v>64</v>
      </c>
      <c r="P240" s="58" t="s">
        <v>65</v>
      </c>
      <c r="S240" s="59" t="s">
        <v>210</v>
      </c>
      <c r="T240" s="59">
        <f t="shared" ref="T240:AE240" si="117">T236+T239</f>
        <v>46087.743999999999</v>
      </c>
      <c r="U240" s="59">
        <f t="shared" si="117"/>
        <v>6752.4163200000021</v>
      </c>
      <c r="V240" s="59">
        <f t="shared" si="117"/>
        <v>6752.4163200000021</v>
      </c>
      <c r="W240" s="59">
        <f t="shared" si="117"/>
        <v>6752.4163200000021</v>
      </c>
      <c r="X240" s="59">
        <f t="shared" si="117"/>
        <v>6752.4163200000021</v>
      </c>
      <c r="Y240" s="59">
        <f t="shared" si="117"/>
        <v>6752.4163200000021</v>
      </c>
      <c r="Z240" s="59">
        <f t="shared" si="117"/>
        <v>6752.4163200000021</v>
      </c>
      <c r="AA240" s="59">
        <f t="shared" si="117"/>
        <v>6752.4163200000021</v>
      </c>
      <c r="AB240" s="59">
        <f t="shared" si="117"/>
        <v>6752.4163200000021</v>
      </c>
      <c r="AC240" s="59">
        <f t="shared" si="117"/>
        <v>14438.416320000002</v>
      </c>
      <c r="AD240" s="59">
        <f t="shared" si="117"/>
        <v>7423.4163200000021</v>
      </c>
      <c r="AE240" s="59">
        <f t="shared" si="117"/>
        <v>6932.4163200000021</v>
      </c>
    </row>
    <row r="241" spans="2:31" x14ac:dyDescent="0.25">
      <c r="B241" s="59" t="s">
        <v>68</v>
      </c>
      <c r="C241" s="59">
        <f t="shared" ref="C241:N241" si="118">C187</f>
        <v>1125.4027200000005</v>
      </c>
      <c r="D241" s="59">
        <f t="shared" si="118"/>
        <v>1125.4027200000005</v>
      </c>
      <c r="E241" s="59">
        <f t="shared" si="118"/>
        <v>1125.4027200000005</v>
      </c>
      <c r="F241" s="59">
        <f t="shared" si="118"/>
        <v>1125.4027200000005</v>
      </c>
      <c r="G241" s="59">
        <f t="shared" si="118"/>
        <v>1125.4027200000005</v>
      </c>
      <c r="H241" s="59">
        <f t="shared" si="118"/>
        <v>1125.4027200000005</v>
      </c>
      <c r="I241" s="59">
        <f t="shared" si="118"/>
        <v>1125.4027200000005</v>
      </c>
      <c r="J241" s="59">
        <f t="shared" si="118"/>
        <v>1125.4027200000005</v>
      </c>
      <c r="K241" s="59">
        <f t="shared" si="118"/>
        <v>1125.4027200000005</v>
      </c>
      <c r="L241" s="59">
        <f t="shared" si="118"/>
        <v>1125.4027200000005</v>
      </c>
      <c r="M241" s="59">
        <f t="shared" si="118"/>
        <v>1125.4027200000005</v>
      </c>
      <c r="N241" s="59">
        <f t="shared" si="118"/>
        <v>1125.4027200000005</v>
      </c>
      <c r="O241" s="34"/>
      <c r="P241" s="34"/>
      <c r="S241" s="34" t="s">
        <v>211</v>
      </c>
      <c r="T241" s="34">
        <f t="shared" ref="T241:AE241" si="119">C265</f>
        <v>76343.805868800002</v>
      </c>
      <c r="U241" s="34">
        <f t="shared" si="119"/>
        <v>44983.587344</v>
      </c>
      <c r="V241" s="34">
        <f t="shared" si="119"/>
        <v>49463.587344</v>
      </c>
      <c r="W241" s="34">
        <f t="shared" si="119"/>
        <v>49463.587344</v>
      </c>
      <c r="X241" s="34">
        <f t="shared" si="119"/>
        <v>49463.587344</v>
      </c>
      <c r="Y241" s="34">
        <f t="shared" si="119"/>
        <v>49463.587344</v>
      </c>
      <c r="Z241" s="34">
        <f t="shared" si="119"/>
        <v>49463.587344</v>
      </c>
      <c r="AA241" s="34">
        <f t="shared" si="119"/>
        <v>49463.587344</v>
      </c>
      <c r="AB241" s="34">
        <f t="shared" si="119"/>
        <v>49463.587344</v>
      </c>
      <c r="AC241" s="34">
        <f t="shared" si="119"/>
        <v>57663.587344</v>
      </c>
      <c r="AD241" s="34">
        <f t="shared" si="119"/>
        <v>49463.587344</v>
      </c>
      <c r="AE241" s="34">
        <f t="shared" si="119"/>
        <v>49463.587344</v>
      </c>
    </row>
    <row r="242" spans="2:31" x14ac:dyDescent="0.25">
      <c r="B242" s="34" t="s">
        <v>79</v>
      </c>
      <c r="C242" s="34">
        <f t="shared" ref="C242:N242" si="120">C196</f>
        <v>382.6369248000002</v>
      </c>
      <c r="D242" s="34">
        <f t="shared" si="120"/>
        <v>382.6369248000002</v>
      </c>
      <c r="E242" s="34">
        <f t="shared" si="120"/>
        <v>382.6369248000002</v>
      </c>
      <c r="F242" s="34">
        <f t="shared" si="120"/>
        <v>382.6369248000002</v>
      </c>
      <c r="G242" s="34">
        <f t="shared" si="120"/>
        <v>382.6369248000002</v>
      </c>
      <c r="H242" s="34">
        <f t="shared" si="120"/>
        <v>382.6369248000002</v>
      </c>
      <c r="I242" s="34">
        <f t="shared" si="120"/>
        <v>382.6369248000002</v>
      </c>
      <c r="J242" s="34">
        <f t="shared" si="120"/>
        <v>382.6369248000002</v>
      </c>
      <c r="K242" s="34">
        <f t="shared" si="120"/>
        <v>382.6369248000002</v>
      </c>
      <c r="L242" s="34">
        <f t="shared" si="120"/>
        <v>382.6369248000002</v>
      </c>
      <c r="M242" s="34">
        <f t="shared" si="120"/>
        <v>382.6369248000002</v>
      </c>
      <c r="N242" s="34">
        <f t="shared" si="120"/>
        <v>382.6369248000002</v>
      </c>
      <c r="O242" s="34"/>
      <c r="P242" s="34"/>
      <c r="S242" s="34" t="s">
        <v>212</v>
      </c>
      <c r="T242" s="34"/>
      <c r="U242" s="34">
        <f>T239*0.07</f>
        <v>2767.2400000000002</v>
      </c>
      <c r="V242" s="34">
        <f t="shared" ref="V242:AE242" si="121">U239*0.07</f>
        <v>0</v>
      </c>
      <c r="W242" s="34">
        <f t="shared" si="121"/>
        <v>0</v>
      </c>
      <c r="X242" s="34">
        <f t="shared" si="121"/>
        <v>0</v>
      </c>
      <c r="Y242" s="34">
        <f t="shared" si="121"/>
        <v>0</v>
      </c>
      <c r="Z242" s="34">
        <f t="shared" si="121"/>
        <v>0</v>
      </c>
      <c r="AA242" s="34">
        <f t="shared" si="121"/>
        <v>0</v>
      </c>
      <c r="AB242" s="34">
        <f t="shared" si="121"/>
        <v>0</v>
      </c>
      <c r="AC242" s="34">
        <f t="shared" si="121"/>
        <v>0</v>
      </c>
      <c r="AD242" s="34">
        <f t="shared" si="121"/>
        <v>538.0200000000001</v>
      </c>
      <c r="AE242" s="34">
        <f t="shared" si="121"/>
        <v>46.970000000000006</v>
      </c>
    </row>
    <row r="243" spans="2:31" x14ac:dyDescent="0.25">
      <c r="B243" s="34" t="s">
        <v>86</v>
      </c>
      <c r="C243" s="34">
        <f t="shared" ref="C243:N243" si="122">C205</f>
        <v>1420</v>
      </c>
      <c r="D243" s="34">
        <f t="shared" si="122"/>
        <v>1420</v>
      </c>
      <c r="E243" s="34">
        <f t="shared" si="122"/>
        <v>1420</v>
      </c>
      <c r="F243" s="34">
        <f t="shared" si="122"/>
        <v>1420</v>
      </c>
      <c r="G243" s="34">
        <f t="shared" si="122"/>
        <v>1420</v>
      </c>
      <c r="H243" s="34">
        <f t="shared" si="122"/>
        <v>1420</v>
      </c>
      <c r="I243" s="34">
        <f t="shared" si="122"/>
        <v>1420</v>
      </c>
      <c r="J243" s="34">
        <f t="shared" si="122"/>
        <v>1420</v>
      </c>
      <c r="K243" s="34">
        <f t="shared" si="122"/>
        <v>1420</v>
      </c>
      <c r="L243" s="34">
        <f t="shared" si="122"/>
        <v>1420</v>
      </c>
      <c r="M243" s="34">
        <f t="shared" si="122"/>
        <v>1420</v>
      </c>
      <c r="N243" s="34">
        <f t="shared" si="122"/>
        <v>1420</v>
      </c>
      <c r="O243" s="34"/>
      <c r="P243" s="34"/>
      <c r="S243" s="59" t="s">
        <v>213</v>
      </c>
      <c r="T243" s="59">
        <f t="shared" ref="T243:AE243" si="123">T241+T242</f>
        <v>76343.805868800002</v>
      </c>
      <c r="U243" s="59">
        <f t="shared" si="123"/>
        <v>47750.827343999998</v>
      </c>
      <c r="V243" s="59">
        <f t="shared" si="123"/>
        <v>49463.587344</v>
      </c>
      <c r="W243" s="59">
        <f t="shared" si="123"/>
        <v>49463.587344</v>
      </c>
      <c r="X243" s="59">
        <f t="shared" si="123"/>
        <v>49463.587344</v>
      </c>
      <c r="Y243" s="59">
        <f t="shared" si="123"/>
        <v>49463.587344</v>
      </c>
      <c r="Z243" s="59">
        <f t="shared" si="123"/>
        <v>49463.587344</v>
      </c>
      <c r="AA243" s="59">
        <f t="shared" si="123"/>
        <v>49463.587344</v>
      </c>
      <c r="AB243" s="59">
        <f t="shared" si="123"/>
        <v>49463.587344</v>
      </c>
      <c r="AC243" s="59">
        <f t="shared" si="123"/>
        <v>57663.587344</v>
      </c>
      <c r="AD243" s="59">
        <f t="shared" si="123"/>
        <v>50001.607343999996</v>
      </c>
      <c r="AE243" s="59">
        <f t="shared" si="123"/>
        <v>49510.557344000001</v>
      </c>
    </row>
    <row r="244" spans="2:31" x14ac:dyDescent="0.25">
      <c r="B244" s="59" t="s">
        <v>113</v>
      </c>
      <c r="C244" s="59">
        <f t="shared" ref="C244:N244" si="124">C233</f>
        <v>4480</v>
      </c>
      <c r="D244" s="59">
        <f t="shared" si="124"/>
        <v>0</v>
      </c>
      <c r="E244" s="59">
        <f t="shared" si="124"/>
        <v>0</v>
      </c>
      <c r="F244" s="59">
        <f t="shared" si="124"/>
        <v>0</v>
      </c>
      <c r="G244" s="59">
        <f t="shared" si="124"/>
        <v>0</v>
      </c>
      <c r="H244" s="59">
        <f t="shared" si="124"/>
        <v>0</v>
      </c>
      <c r="I244" s="59">
        <f t="shared" si="124"/>
        <v>0</v>
      </c>
      <c r="J244" s="59">
        <f t="shared" si="124"/>
        <v>0</v>
      </c>
      <c r="K244" s="59">
        <f t="shared" si="124"/>
        <v>0</v>
      </c>
      <c r="L244" s="59">
        <f t="shared" si="124"/>
        <v>0</v>
      </c>
      <c r="M244" s="59">
        <f t="shared" si="124"/>
        <v>0</v>
      </c>
      <c r="N244" s="59">
        <f t="shared" si="124"/>
        <v>0</v>
      </c>
      <c r="O244" s="34"/>
      <c r="P244" s="34"/>
      <c r="S244" s="34" t="s">
        <v>132</v>
      </c>
      <c r="T244" s="34">
        <f>AE155</f>
        <v>-965304.87047999981</v>
      </c>
      <c r="U244" s="34">
        <f t="shared" ref="U244:AE244" si="125">T246</f>
        <v>-995560.93234879978</v>
      </c>
      <c r="V244" s="34">
        <f t="shared" si="125"/>
        <v>-1036559.3433727998</v>
      </c>
      <c r="W244" s="34">
        <f t="shared" si="125"/>
        <v>-1079270.5143967997</v>
      </c>
      <c r="X244" s="34">
        <f t="shared" si="125"/>
        <v>-1121981.6854207998</v>
      </c>
      <c r="Y244" s="34">
        <f t="shared" si="125"/>
        <v>-1164692.8564447998</v>
      </c>
      <c r="Z244" s="34">
        <f t="shared" si="125"/>
        <v>-1207404.0274687998</v>
      </c>
      <c r="AA244" s="34">
        <f t="shared" si="125"/>
        <v>-1250115.1984927999</v>
      </c>
      <c r="AB244" s="34">
        <f t="shared" si="125"/>
        <v>-1292826.3695167999</v>
      </c>
      <c r="AC244" s="34">
        <f t="shared" si="125"/>
        <v>-1335537.5405408</v>
      </c>
      <c r="AD244" s="34">
        <f t="shared" si="125"/>
        <v>-1378762.7115648</v>
      </c>
      <c r="AE244" s="34">
        <f t="shared" si="125"/>
        <v>-1421340.9025888001</v>
      </c>
    </row>
    <row r="245" spans="2:31" x14ac:dyDescent="0.25">
      <c r="B245" s="44" t="s">
        <v>117</v>
      </c>
      <c r="C245" s="42">
        <f t="shared" ref="C245:N245" si="126">C242+C243+C244</f>
        <v>6282.6369248000001</v>
      </c>
      <c r="D245" s="42">
        <f t="shared" si="126"/>
        <v>1802.6369248000001</v>
      </c>
      <c r="E245" s="42">
        <f t="shared" si="126"/>
        <v>1802.6369248000001</v>
      </c>
      <c r="F245" s="42">
        <f t="shared" si="126"/>
        <v>1802.6369248000001</v>
      </c>
      <c r="G245" s="42">
        <f t="shared" si="126"/>
        <v>1802.6369248000001</v>
      </c>
      <c r="H245" s="42">
        <f t="shared" si="126"/>
        <v>1802.6369248000001</v>
      </c>
      <c r="I245" s="42">
        <f t="shared" si="126"/>
        <v>1802.6369248000001</v>
      </c>
      <c r="J245" s="42">
        <f t="shared" si="126"/>
        <v>1802.6369248000001</v>
      </c>
      <c r="K245" s="42">
        <f t="shared" si="126"/>
        <v>1802.6369248000001</v>
      </c>
      <c r="L245" s="42">
        <f t="shared" si="126"/>
        <v>1802.6369248000001</v>
      </c>
      <c r="M245" s="42">
        <f t="shared" si="126"/>
        <v>1802.6369248000001</v>
      </c>
      <c r="N245" s="42">
        <f t="shared" si="126"/>
        <v>1802.6369248000001</v>
      </c>
      <c r="O245" s="34"/>
      <c r="P245" s="34"/>
      <c r="S245" s="34" t="s">
        <v>133</v>
      </c>
      <c r="T245" s="34">
        <f t="shared" ref="T245:AE245" si="127">T240-T243</f>
        <v>-30256.061868800003</v>
      </c>
      <c r="U245" s="34">
        <f t="shared" si="127"/>
        <v>-40998.411023999994</v>
      </c>
      <c r="V245" s="34">
        <f t="shared" si="127"/>
        <v>-42711.171023999996</v>
      </c>
      <c r="W245" s="34">
        <f t="shared" si="127"/>
        <v>-42711.171023999996</v>
      </c>
      <c r="X245" s="34">
        <f t="shared" si="127"/>
        <v>-42711.171023999996</v>
      </c>
      <c r="Y245" s="34">
        <f t="shared" si="127"/>
        <v>-42711.171023999996</v>
      </c>
      <c r="Z245" s="34">
        <f t="shared" si="127"/>
        <v>-42711.171023999996</v>
      </c>
      <c r="AA245" s="34">
        <f t="shared" si="127"/>
        <v>-42711.171023999996</v>
      </c>
      <c r="AB245" s="34">
        <f t="shared" si="127"/>
        <v>-42711.171023999996</v>
      </c>
      <c r="AC245" s="34">
        <f t="shared" si="127"/>
        <v>-43225.171023999996</v>
      </c>
      <c r="AD245" s="34">
        <f t="shared" si="127"/>
        <v>-42578.191023999992</v>
      </c>
      <c r="AE245" s="34">
        <f t="shared" si="127"/>
        <v>-42578.141023999997</v>
      </c>
    </row>
    <row r="246" spans="2:31" x14ac:dyDescent="0.25">
      <c r="B246" s="45" t="s">
        <v>118</v>
      </c>
      <c r="C246" s="43">
        <f t="shared" ref="C246:N246" si="128">C241-C245</f>
        <v>-5157.2342047999991</v>
      </c>
      <c r="D246" s="43">
        <f t="shared" si="128"/>
        <v>-677.23420479999959</v>
      </c>
      <c r="E246" s="43">
        <f t="shared" si="128"/>
        <v>-677.23420479999959</v>
      </c>
      <c r="F246" s="43">
        <f t="shared" si="128"/>
        <v>-677.23420479999959</v>
      </c>
      <c r="G246" s="43">
        <f t="shared" si="128"/>
        <v>-677.23420479999959</v>
      </c>
      <c r="H246" s="43">
        <f t="shared" si="128"/>
        <v>-677.23420479999959</v>
      </c>
      <c r="I246" s="43">
        <f t="shared" si="128"/>
        <v>-677.23420479999959</v>
      </c>
      <c r="J246" s="43">
        <f t="shared" si="128"/>
        <v>-677.23420479999959</v>
      </c>
      <c r="K246" s="43">
        <f t="shared" si="128"/>
        <v>-677.23420479999959</v>
      </c>
      <c r="L246" s="43">
        <f t="shared" si="128"/>
        <v>-677.23420479999959</v>
      </c>
      <c r="M246" s="43">
        <f t="shared" si="128"/>
        <v>-677.23420479999959</v>
      </c>
      <c r="N246" s="43">
        <f t="shared" si="128"/>
        <v>-677.23420479999959</v>
      </c>
      <c r="O246" s="34"/>
      <c r="P246" s="34"/>
      <c r="S246" s="34" t="s">
        <v>214</v>
      </c>
      <c r="T246" s="34">
        <f t="shared" ref="T246:AE246" si="129">T244+T245</f>
        <v>-995560.93234879978</v>
      </c>
      <c r="U246" s="34">
        <f t="shared" si="129"/>
        <v>-1036559.3433727998</v>
      </c>
      <c r="V246" s="34">
        <f t="shared" si="129"/>
        <v>-1079270.5143967997</v>
      </c>
      <c r="W246" s="34">
        <f t="shared" si="129"/>
        <v>-1121981.6854207998</v>
      </c>
      <c r="X246" s="34">
        <f t="shared" si="129"/>
        <v>-1164692.8564447998</v>
      </c>
      <c r="Y246" s="34">
        <f t="shared" si="129"/>
        <v>-1207404.0274687998</v>
      </c>
      <c r="Z246" s="34">
        <f t="shared" si="129"/>
        <v>-1250115.1984927999</v>
      </c>
      <c r="AA246" s="34">
        <f t="shared" si="129"/>
        <v>-1292826.3695167999</v>
      </c>
      <c r="AB246" s="34">
        <f t="shared" si="129"/>
        <v>-1335537.5405408</v>
      </c>
      <c r="AC246" s="34">
        <f t="shared" si="129"/>
        <v>-1378762.7115648</v>
      </c>
      <c r="AD246" s="34">
        <f t="shared" si="129"/>
        <v>-1421340.9025888001</v>
      </c>
      <c r="AE246" s="34">
        <f t="shared" si="129"/>
        <v>-1463919.0436128001</v>
      </c>
    </row>
    <row r="247" spans="2:31" x14ac:dyDescent="0.25">
      <c r="B247" s="59" t="s">
        <v>81</v>
      </c>
      <c r="C247" s="59">
        <f>P156</f>
        <v>-677.01567999999997</v>
      </c>
      <c r="D247" s="59">
        <f t="shared" ref="D247:N247" si="130">C246</f>
        <v>-5157.2342047999991</v>
      </c>
      <c r="E247" s="59">
        <f t="shared" si="130"/>
        <v>-677.23420479999959</v>
      </c>
      <c r="F247" s="59">
        <f t="shared" si="130"/>
        <v>-677.23420479999959</v>
      </c>
      <c r="G247" s="59">
        <f t="shared" si="130"/>
        <v>-677.23420479999959</v>
      </c>
      <c r="H247" s="59">
        <f t="shared" si="130"/>
        <v>-677.23420479999959</v>
      </c>
      <c r="I247" s="59">
        <f t="shared" si="130"/>
        <v>-677.23420479999959</v>
      </c>
      <c r="J247" s="59">
        <f t="shared" si="130"/>
        <v>-677.23420479999959</v>
      </c>
      <c r="K247" s="59">
        <f t="shared" si="130"/>
        <v>-677.23420479999959</v>
      </c>
      <c r="L247" s="59">
        <f t="shared" si="130"/>
        <v>-677.23420479999959</v>
      </c>
      <c r="M247" s="59">
        <f t="shared" si="130"/>
        <v>-677.23420479999959</v>
      </c>
      <c r="N247" s="59">
        <f t="shared" si="130"/>
        <v>-677.23420479999959</v>
      </c>
      <c r="O247" s="60" t="s">
        <v>119</v>
      </c>
      <c r="P247" s="61">
        <f>N246</f>
        <v>-677.23420479999959</v>
      </c>
    </row>
    <row r="250" spans="2:31" x14ac:dyDescent="0.25">
      <c r="B250" s="288" t="s">
        <v>163</v>
      </c>
      <c r="C250" s="288"/>
      <c r="D250" s="288"/>
      <c r="E250" s="288"/>
      <c r="F250" s="288"/>
      <c r="G250" s="288"/>
      <c r="H250" s="288"/>
      <c r="I250" s="288"/>
      <c r="J250" s="288"/>
      <c r="K250" s="288"/>
      <c r="L250" s="288"/>
      <c r="M250" s="288"/>
      <c r="N250" s="288"/>
      <c r="O250" s="288"/>
      <c r="P250" s="288"/>
      <c r="S250" s="228" t="s">
        <v>154</v>
      </c>
      <c r="T250" s="229"/>
      <c r="V250" s="224" t="s">
        <v>157</v>
      </c>
      <c r="W250" s="224"/>
      <c r="X250" s="224"/>
      <c r="Y250" s="224"/>
      <c r="Z250" s="224"/>
      <c r="AA250" s="224"/>
    </row>
    <row r="251" spans="2:31" ht="30" x14ac:dyDescent="0.25">
      <c r="B251" s="213"/>
      <c r="C251" s="215" t="s">
        <v>50</v>
      </c>
      <c r="D251" s="215" t="s">
        <v>51</v>
      </c>
      <c r="E251" s="215" t="s">
        <v>52</v>
      </c>
      <c r="F251" s="215" t="s">
        <v>53</v>
      </c>
      <c r="G251" s="215" t="s">
        <v>54</v>
      </c>
      <c r="H251" s="215" t="s">
        <v>55</v>
      </c>
      <c r="I251" s="215" t="s">
        <v>56</v>
      </c>
      <c r="J251" s="215" t="s">
        <v>57</v>
      </c>
      <c r="K251" s="215" t="s">
        <v>58</v>
      </c>
      <c r="L251" s="215" t="s">
        <v>59</v>
      </c>
      <c r="M251" s="215" t="s">
        <v>60</v>
      </c>
      <c r="N251" s="215" t="s">
        <v>61</v>
      </c>
      <c r="O251" s="220" t="s">
        <v>62</v>
      </c>
      <c r="P251" s="221"/>
      <c r="S251" s="143" t="s">
        <v>1</v>
      </c>
      <c r="T251" s="21">
        <f>P186</f>
        <v>67524.163200000039</v>
      </c>
      <c r="V251" s="144" t="s">
        <v>2</v>
      </c>
      <c r="W251" s="145" t="s">
        <v>3</v>
      </c>
      <c r="X251" s="145" t="s">
        <v>4</v>
      </c>
      <c r="Y251" s="145" t="s">
        <v>5</v>
      </c>
      <c r="Z251" s="146" t="s">
        <v>6</v>
      </c>
      <c r="AA251" s="147" t="s">
        <v>5</v>
      </c>
      <c r="AB251" s="287"/>
      <c r="AC251" s="286"/>
      <c r="AD251" s="286"/>
      <c r="AE251" s="286"/>
    </row>
    <row r="252" spans="2:31" x14ac:dyDescent="0.25">
      <c r="B252" s="214"/>
      <c r="C252" s="216"/>
      <c r="D252" s="216"/>
      <c r="E252" s="216"/>
      <c r="F252" s="216"/>
      <c r="G252" s="216"/>
      <c r="H252" s="216"/>
      <c r="I252" s="216"/>
      <c r="J252" s="216"/>
      <c r="K252" s="216"/>
      <c r="L252" s="216"/>
      <c r="M252" s="216"/>
      <c r="N252" s="216"/>
      <c r="O252" s="58" t="s">
        <v>64</v>
      </c>
      <c r="P252" s="58" t="s">
        <v>65</v>
      </c>
      <c r="S252" s="143" t="s">
        <v>67</v>
      </c>
      <c r="T252" s="21">
        <v>0</v>
      </c>
      <c r="V252" s="148" t="s">
        <v>8</v>
      </c>
      <c r="W252" s="148">
        <f>SUM(W253:W256)</f>
        <v>275900</v>
      </c>
      <c r="X252" s="148">
        <f>SUM(X253:X254)</f>
        <v>77134.523809523802</v>
      </c>
      <c r="Y252" s="148">
        <f>SUM(Y253:Y254)</f>
        <v>198765.47619047621</v>
      </c>
      <c r="Z252" s="148" t="s">
        <v>9</v>
      </c>
      <c r="AA252" s="149">
        <f>SUM(AA253:AA256)</f>
        <v>-1384575.9168975237</v>
      </c>
      <c r="AB252" s="287"/>
      <c r="AC252" s="286"/>
      <c r="AD252" s="286"/>
      <c r="AE252" s="286"/>
    </row>
    <row r="253" spans="2:31" ht="30" x14ac:dyDescent="0.25">
      <c r="B253" s="35" t="s">
        <v>121</v>
      </c>
      <c r="C253" s="35">
        <f t="shared" ref="C253:N253" si="131">C189</f>
        <v>6555.7439999999997</v>
      </c>
      <c r="D253" s="35">
        <f t="shared" si="131"/>
        <v>6752.4163200000021</v>
      </c>
      <c r="E253" s="35">
        <f t="shared" si="131"/>
        <v>6752.4163200000021</v>
      </c>
      <c r="F253" s="35">
        <f t="shared" si="131"/>
        <v>6752.4163200000021</v>
      </c>
      <c r="G253" s="35">
        <f t="shared" si="131"/>
        <v>6752.4163200000021</v>
      </c>
      <c r="H253" s="35">
        <f t="shared" si="131"/>
        <v>6752.4163200000021</v>
      </c>
      <c r="I253" s="35">
        <f t="shared" si="131"/>
        <v>6752.4163200000021</v>
      </c>
      <c r="J253" s="43">
        <f t="shared" si="131"/>
        <v>6752.4163200000021</v>
      </c>
      <c r="K253" s="35">
        <f t="shared" si="131"/>
        <v>6752.4163200000021</v>
      </c>
      <c r="L253" s="35">
        <f t="shared" si="131"/>
        <v>6752.4163200000021</v>
      </c>
      <c r="M253" s="35">
        <f t="shared" si="131"/>
        <v>6752.4163200000021</v>
      </c>
      <c r="N253" s="35">
        <f t="shared" si="131"/>
        <v>6752.4163200000021</v>
      </c>
      <c r="O253" s="34"/>
      <c r="P253" s="34"/>
      <c r="S253" s="144" t="s">
        <v>10</v>
      </c>
      <c r="T253" s="131">
        <f>T251+T252</f>
        <v>67524.163200000039</v>
      </c>
      <c r="V253" s="150" t="s">
        <v>11</v>
      </c>
      <c r="W253" s="150">
        <f>'Bilan et CDR N+3'!G7</f>
        <v>176000</v>
      </c>
      <c r="X253" s="150">
        <f>X162+P212*0.75</f>
        <v>37025.892857142855</v>
      </c>
      <c r="Y253" s="150">
        <f>W253-X253</f>
        <v>138974.10714285716</v>
      </c>
      <c r="Z253" s="150" t="s">
        <v>12</v>
      </c>
      <c r="AA253" s="151">
        <f>AA162</f>
        <v>80000</v>
      </c>
      <c r="AB253" s="162"/>
      <c r="AC253" s="118"/>
      <c r="AD253" s="118"/>
      <c r="AE253" s="118"/>
    </row>
    <row r="254" spans="2:31" x14ac:dyDescent="0.25">
      <c r="B254" s="34" t="s">
        <v>122</v>
      </c>
      <c r="C254" s="34"/>
      <c r="D254" s="34"/>
      <c r="E254" s="34"/>
      <c r="F254" s="34"/>
      <c r="G254" s="34"/>
      <c r="H254" s="34"/>
      <c r="I254" s="34"/>
      <c r="J254" s="34"/>
      <c r="K254" s="34"/>
      <c r="L254" s="34"/>
      <c r="M254" s="34"/>
      <c r="N254" s="34"/>
      <c r="O254" s="34"/>
      <c r="P254" s="34"/>
      <c r="S254" s="143" t="s">
        <v>70</v>
      </c>
      <c r="T254" s="21">
        <f>P195</f>
        <v>22958.215488000013</v>
      </c>
      <c r="V254" s="150" t="s">
        <v>14</v>
      </c>
      <c r="W254" s="150">
        <f>'Bilan et CDR N+3'!G8</f>
        <v>99900</v>
      </c>
      <c r="X254" s="150">
        <f>X163+P212*0.25</f>
        <v>40108.630952380947</v>
      </c>
      <c r="Y254" s="150">
        <f>W254-X254</f>
        <v>59791.369047619053</v>
      </c>
      <c r="Z254" s="150" t="s">
        <v>15</v>
      </c>
      <c r="AA254" s="151">
        <v>5000</v>
      </c>
      <c r="AB254" s="152"/>
    </row>
    <row r="255" spans="2:31" x14ac:dyDescent="0.25">
      <c r="B255" s="59" t="s">
        <v>123</v>
      </c>
      <c r="C255" s="59">
        <f t="shared" ref="C255:N255" si="132">C254+C253</f>
        <v>6555.7439999999997</v>
      </c>
      <c r="D255" s="59">
        <f t="shared" si="132"/>
        <v>6752.4163200000021</v>
      </c>
      <c r="E255" s="59">
        <f t="shared" si="132"/>
        <v>6752.4163200000021</v>
      </c>
      <c r="F255" s="59">
        <f t="shared" si="132"/>
        <v>6752.4163200000021</v>
      </c>
      <c r="G255" s="59">
        <f t="shared" si="132"/>
        <v>6752.4163200000021</v>
      </c>
      <c r="H255" s="59">
        <f t="shared" si="132"/>
        <v>6752.4163200000021</v>
      </c>
      <c r="I255" s="59">
        <f t="shared" si="132"/>
        <v>6752.4163200000021</v>
      </c>
      <c r="J255" s="59">
        <f t="shared" si="132"/>
        <v>6752.4163200000021</v>
      </c>
      <c r="K255" s="59">
        <f t="shared" si="132"/>
        <v>6752.4163200000021</v>
      </c>
      <c r="L255" s="59">
        <f t="shared" si="132"/>
        <v>6752.4163200000021</v>
      </c>
      <c r="M255" s="59">
        <f t="shared" si="132"/>
        <v>6752.4163200000021</v>
      </c>
      <c r="N255" s="59">
        <f t="shared" si="132"/>
        <v>6752.4163200000021</v>
      </c>
      <c r="O255" s="34"/>
      <c r="P255" s="34"/>
      <c r="S255" s="143" t="s">
        <v>73</v>
      </c>
      <c r="T255" s="21">
        <f>P204</f>
        <v>85200</v>
      </c>
      <c r="V255" s="148"/>
      <c r="W255" s="148"/>
      <c r="X255" s="148"/>
      <c r="Y255" s="148"/>
      <c r="Z255" s="150" t="s">
        <v>17</v>
      </c>
      <c r="AA255" s="151">
        <f>AA164+AA165</f>
        <v>-969875.34889523801</v>
      </c>
      <c r="AB255" s="152"/>
    </row>
    <row r="256" spans="2:31" x14ac:dyDescent="0.25">
      <c r="B256" s="39" t="s">
        <v>124</v>
      </c>
      <c r="C256" s="41">
        <f t="shared" ref="C256:N256" si="133">C198</f>
        <v>2295.821548800001</v>
      </c>
      <c r="D256" s="41">
        <f t="shared" si="133"/>
        <v>2295.821548800001</v>
      </c>
      <c r="E256" s="41">
        <f t="shared" si="133"/>
        <v>2295.821548800001</v>
      </c>
      <c r="F256" s="41">
        <f t="shared" si="133"/>
        <v>2295.821548800001</v>
      </c>
      <c r="G256" s="41">
        <f t="shared" si="133"/>
        <v>2295.821548800001</v>
      </c>
      <c r="H256" s="41">
        <f t="shared" si="133"/>
        <v>2295.821548800001</v>
      </c>
      <c r="I256" s="41">
        <f t="shared" si="133"/>
        <v>2295.821548800001</v>
      </c>
      <c r="J256" s="41">
        <f t="shared" si="133"/>
        <v>2295.821548800001</v>
      </c>
      <c r="K256" s="41">
        <f t="shared" si="133"/>
        <v>2295.821548800001</v>
      </c>
      <c r="L256" s="41">
        <f t="shared" si="133"/>
        <v>2295.821548800001</v>
      </c>
      <c r="M256" s="41">
        <f t="shared" si="133"/>
        <v>2295.821548800001</v>
      </c>
      <c r="N256" s="41">
        <f t="shared" si="133"/>
        <v>2295.821548800001</v>
      </c>
      <c r="O256" s="34"/>
      <c r="P256" s="34"/>
      <c r="S256" s="143" t="s">
        <v>18</v>
      </c>
      <c r="T256" s="21">
        <f>P222</f>
        <v>8200</v>
      </c>
      <c r="V256" s="150"/>
      <c r="W256" s="150"/>
      <c r="X256" s="150"/>
      <c r="Y256" s="150"/>
      <c r="Z256" s="150" t="s">
        <v>19</v>
      </c>
      <c r="AA256" s="151">
        <f>T268</f>
        <v>-499700.56800228567</v>
      </c>
      <c r="AB256" s="152"/>
    </row>
    <row r="257" spans="2:31" x14ac:dyDescent="0.25">
      <c r="B257" s="39" t="s">
        <v>125</v>
      </c>
      <c r="C257" s="41"/>
      <c r="D257" s="41"/>
      <c r="E257" s="41"/>
      <c r="F257" s="41"/>
      <c r="G257" s="41"/>
      <c r="H257" s="41"/>
      <c r="I257" s="41"/>
      <c r="J257" s="41"/>
      <c r="K257" s="41"/>
      <c r="L257" s="41"/>
      <c r="M257" s="41"/>
      <c r="N257" s="41"/>
      <c r="O257" s="34"/>
      <c r="P257" s="34"/>
      <c r="S257" s="143" t="s">
        <v>20</v>
      </c>
      <c r="T257" s="21">
        <f>P214</f>
        <v>307500</v>
      </c>
      <c r="V257" s="152"/>
      <c r="W257" s="153"/>
      <c r="Y257" s="153"/>
      <c r="Z257" s="151"/>
      <c r="AA257" s="149"/>
      <c r="AB257" s="162"/>
      <c r="AC257" s="118"/>
      <c r="AD257" s="118"/>
      <c r="AE257" s="118"/>
    </row>
    <row r="258" spans="2:31" x14ac:dyDescent="0.25">
      <c r="B258" s="39" t="s">
        <v>126</v>
      </c>
      <c r="C258" s="41">
        <f t="shared" ref="C258:N258" si="134">C214</f>
        <v>25625</v>
      </c>
      <c r="D258" s="41">
        <f t="shared" si="134"/>
        <v>25625</v>
      </c>
      <c r="E258" s="41">
        <f t="shared" si="134"/>
        <v>25625</v>
      </c>
      <c r="F258" s="41">
        <f t="shared" si="134"/>
        <v>25625</v>
      </c>
      <c r="G258" s="41">
        <f t="shared" si="134"/>
        <v>25625</v>
      </c>
      <c r="H258" s="41">
        <f t="shared" si="134"/>
        <v>25625</v>
      </c>
      <c r="I258" s="41">
        <f t="shared" si="134"/>
        <v>25625</v>
      </c>
      <c r="J258" s="41">
        <f t="shared" si="134"/>
        <v>25625</v>
      </c>
      <c r="K258" s="41">
        <f t="shared" si="134"/>
        <v>25625</v>
      </c>
      <c r="L258" s="41">
        <f t="shared" si="134"/>
        <v>25625</v>
      </c>
      <c r="M258" s="41">
        <f t="shared" si="134"/>
        <v>25625</v>
      </c>
      <c r="N258" s="41">
        <f t="shared" si="134"/>
        <v>25625</v>
      </c>
      <c r="O258" s="34"/>
      <c r="P258" s="34"/>
      <c r="S258" s="143" t="s">
        <v>21</v>
      </c>
      <c r="T258" s="21">
        <f>P215</f>
        <v>123000</v>
      </c>
      <c r="V258" s="148" t="s">
        <v>22</v>
      </c>
      <c r="W258" s="148">
        <f>SUM(W259:W261)</f>
        <v>-1442166.6272928</v>
      </c>
      <c r="X258" s="148">
        <f>SUM(X259:X261)</f>
        <v>0</v>
      </c>
      <c r="Y258" s="148">
        <f>SUM(Y259:Y261)</f>
        <v>-1442166.6272928</v>
      </c>
      <c r="Z258" s="148" t="s">
        <v>23</v>
      </c>
      <c r="AA258" s="149">
        <f>SUM(AA259:AA262)</f>
        <v>122152.7657952</v>
      </c>
      <c r="AB258" s="152"/>
    </row>
    <row r="259" spans="2:31" ht="30" x14ac:dyDescent="0.25">
      <c r="B259" s="39" t="s">
        <v>21</v>
      </c>
      <c r="C259" s="41">
        <f>C216</f>
        <v>10250</v>
      </c>
      <c r="D259" s="41">
        <f t="shared" ref="D259:N259" si="135">D216</f>
        <v>10250</v>
      </c>
      <c r="E259" s="41">
        <f t="shared" si="135"/>
        <v>10250</v>
      </c>
      <c r="F259" s="41">
        <f t="shared" si="135"/>
        <v>10250</v>
      </c>
      <c r="G259" s="41">
        <f t="shared" si="135"/>
        <v>10250</v>
      </c>
      <c r="H259" s="41">
        <f t="shared" si="135"/>
        <v>10250</v>
      </c>
      <c r="I259" s="41">
        <f t="shared" si="135"/>
        <v>10250</v>
      </c>
      <c r="J259" s="41">
        <f t="shared" si="135"/>
        <v>10250</v>
      </c>
      <c r="K259" s="41">
        <f t="shared" si="135"/>
        <v>10250</v>
      </c>
      <c r="L259" s="41">
        <f t="shared" si="135"/>
        <v>10250</v>
      </c>
      <c r="M259" s="41">
        <f t="shared" si="135"/>
        <v>10250</v>
      </c>
      <c r="N259" s="41">
        <f t="shared" si="135"/>
        <v>10250</v>
      </c>
      <c r="O259" s="34"/>
      <c r="P259" s="34"/>
      <c r="S259" s="143" t="s">
        <v>75</v>
      </c>
      <c r="T259" s="21">
        <f>P212</f>
        <v>15614.285714285714</v>
      </c>
      <c r="V259" s="150" t="s">
        <v>25</v>
      </c>
      <c r="W259" s="150">
        <v>15000</v>
      </c>
      <c r="X259" s="150"/>
      <c r="Y259" s="150">
        <f>W259-X259</f>
        <v>15000</v>
      </c>
      <c r="Z259" s="150" t="s">
        <v>26</v>
      </c>
      <c r="AA259" s="151">
        <f>0</f>
        <v>0</v>
      </c>
      <c r="AB259" s="152"/>
    </row>
    <row r="260" spans="2:31" x14ac:dyDescent="0.25">
      <c r="B260" s="39" t="s">
        <v>102</v>
      </c>
      <c r="C260" s="41">
        <f t="shared" ref="C260:N260" si="136">C223</f>
        <v>0</v>
      </c>
      <c r="D260" s="41">
        <f t="shared" si="136"/>
        <v>0</v>
      </c>
      <c r="E260" s="41">
        <f t="shared" si="136"/>
        <v>0</v>
      </c>
      <c r="F260" s="41">
        <f t="shared" si="136"/>
        <v>0</v>
      </c>
      <c r="G260" s="41">
        <f t="shared" si="136"/>
        <v>0</v>
      </c>
      <c r="H260" s="41">
        <f t="shared" si="136"/>
        <v>0</v>
      </c>
      <c r="I260" s="41">
        <f t="shared" si="136"/>
        <v>0</v>
      </c>
      <c r="J260" s="41">
        <f t="shared" si="136"/>
        <v>0</v>
      </c>
      <c r="K260" s="41">
        <f t="shared" si="136"/>
        <v>0</v>
      </c>
      <c r="L260" s="41">
        <f t="shared" si="136"/>
        <v>8200</v>
      </c>
      <c r="M260" s="41">
        <f t="shared" si="136"/>
        <v>0</v>
      </c>
      <c r="N260" s="41">
        <f t="shared" si="136"/>
        <v>0</v>
      </c>
      <c r="O260" s="34"/>
      <c r="P260" s="34"/>
      <c r="S260" s="144" t="s">
        <v>76</v>
      </c>
      <c r="T260" s="131">
        <f>SUM(T254:T259)</f>
        <v>562472.50120228576</v>
      </c>
      <c r="V260" s="150" t="s">
        <v>28</v>
      </c>
      <c r="W260" s="150">
        <f>P189</f>
        <v>6752.4163200000021</v>
      </c>
      <c r="X260" s="150"/>
      <c r="Y260" s="150">
        <f>W260-X260</f>
        <v>6752.4163200000021</v>
      </c>
      <c r="Z260" s="150" t="s">
        <v>29</v>
      </c>
      <c r="AA260" s="151">
        <v>0</v>
      </c>
      <c r="AB260" s="162"/>
      <c r="AC260" s="118"/>
      <c r="AD260" s="118"/>
      <c r="AE260" s="118"/>
    </row>
    <row r="261" spans="2:31" x14ac:dyDescent="0.25">
      <c r="B261" s="39" t="s">
        <v>127</v>
      </c>
      <c r="C261" s="41">
        <f t="shared" ref="C261:N261" si="137">C207</f>
        <v>8520</v>
      </c>
      <c r="D261" s="41">
        <f t="shared" si="137"/>
        <v>8520</v>
      </c>
      <c r="E261" s="41">
        <f t="shared" si="137"/>
        <v>8520</v>
      </c>
      <c r="F261" s="41">
        <f t="shared" si="137"/>
        <v>8520</v>
      </c>
      <c r="G261" s="41">
        <f t="shared" si="137"/>
        <v>8520</v>
      </c>
      <c r="H261" s="41">
        <f t="shared" si="137"/>
        <v>8520</v>
      </c>
      <c r="I261" s="41">
        <f t="shared" si="137"/>
        <v>8520</v>
      </c>
      <c r="J261" s="41">
        <f t="shared" si="137"/>
        <v>8520</v>
      </c>
      <c r="K261" s="41">
        <f t="shared" si="137"/>
        <v>8520</v>
      </c>
      <c r="L261" s="41">
        <f t="shared" si="137"/>
        <v>8520</v>
      </c>
      <c r="M261" s="41">
        <f t="shared" si="137"/>
        <v>8520</v>
      </c>
      <c r="N261" s="41">
        <f t="shared" si="137"/>
        <v>8520</v>
      </c>
      <c r="O261" s="34"/>
      <c r="P261" s="34"/>
      <c r="S261" s="154" t="s">
        <v>30</v>
      </c>
      <c r="T261" s="155">
        <f>T253-T260</f>
        <v>-494948.33800228569</v>
      </c>
      <c r="V261" s="150" t="s">
        <v>34</v>
      </c>
      <c r="W261" s="150">
        <f>AE246</f>
        <v>-1463919.0436128001</v>
      </c>
      <c r="X261" s="150"/>
      <c r="Y261" s="150">
        <f>W261-X261</f>
        <v>-1463919.0436128001</v>
      </c>
      <c r="Z261" s="150" t="s">
        <v>32</v>
      </c>
      <c r="AA261" s="151">
        <f>P247+P216</f>
        <v>9572.7657952000009</v>
      </c>
      <c r="AB261" s="152"/>
    </row>
    <row r="262" spans="2:31" x14ac:dyDescent="0.25">
      <c r="B262" s="39" t="s">
        <v>128</v>
      </c>
      <c r="C262" s="41">
        <f t="shared" ref="C262:N262" si="138">C226</f>
        <v>3450</v>
      </c>
      <c r="D262" s="41">
        <f t="shared" si="138"/>
        <v>3450</v>
      </c>
      <c r="E262" s="41">
        <f t="shared" si="138"/>
        <v>3450</v>
      </c>
      <c r="F262" s="41">
        <f t="shared" si="138"/>
        <v>3450</v>
      </c>
      <c r="G262" s="41">
        <f t="shared" si="138"/>
        <v>3450</v>
      </c>
      <c r="H262" s="41">
        <f t="shared" si="138"/>
        <v>3450</v>
      </c>
      <c r="I262" s="41">
        <f t="shared" si="138"/>
        <v>3450</v>
      </c>
      <c r="J262" s="41">
        <f t="shared" si="138"/>
        <v>3450</v>
      </c>
      <c r="K262" s="41">
        <f t="shared" si="138"/>
        <v>3450</v>
      </c>
      <c r="L262" s="41">
        <f t="shared" si="138"/>
        <v>3450</v>
      </c>
      <c r="M262" s="41">
        <f t="shared" si="138"/>
        <v>3450</v>
      </c>
      <c r="N262" s="41">
        <f t="shared" si="138"/>
        <v>3450</v>
      </c>
      <c r="O262" s="34"/>
      <c r="P262" s="34"/>
      <c r="S262" s="144" t="s">
        <v>33</v>
      </c>
      <c r="T262" s="131">
        <v>0</v>
      </c>
      <c r="V262" s="150"/>
      <c r="W262" s="150"/>
      <c r="X262" s="150"/>
      <c r="Y262" s="150"/>
      <c r="Z262" s="150" t="s">
        <v>221</v>
      </c>
      <c r="AA262" s="151">
        <f>AA171+SUM(T239:AE239)</f>
        <v>112580</v>
      </c>
      <c r="AB262" s="152"/>
    </row>
    <row r="263" spans="2:31" x14ac:dyDescent="0.25">
      <c r="B263" s="39" t="s">
        <v>129</v>
      </c>
      <c r="C263" s="41">
        <f t="shared" ref="C263:N263" si="139">C234</f>
        <v>26880</v>
      </c>
      <c r="D263" s="41">
        <f t="shared" si="139"/>
        <v>0</v>
      </c>
      <c r="E263" s="41">
        <f t="shared" si="139"/>
        <v>0</v>
      </c>
      <c r="F263" s="41">
        <f t="shared" si="139"/>
        <v>0</v>
      </c>
      <c r="G263" s="41">
        <f t="shared" si="139"/>
        <v>0</v>
      </c>
      <c r="H263" s="41">
        <f t="shared" si="139"/>
        <v>0</v>
      </c>
      <c r="I263" s="41">
        <f t="shared" si="139"/>
        <v>0</v>
      </c>
      <c r="J263" s="41">
        <f t="shared" si="139"/>
        <v>0</v>
      </c>
      <c r="K263" s="41">
        <f t="shared" si="139"/>
        <v>0</v>
      </c>
      <c r="L263" s="41">
        <f t="shared" si="139"/>
        <v>0</v>
      </c>
      <c r="M263" s="41">
        <f t="shared" si="139"/>
        <v>0</v>
      </c>
      <c r="N263" s="41">
        <f t="shared" si="139"/>
        <v>0</v>
      </c>
      <c r="O263" s="34"/>
      <c r="P263" s="34"/>
      <c r="S263" s="143" t="s">
        <v>36</v>
      </c>
      <c r="T263" s="21">
        <f>SUM(T242:AE242)+P224</f>
        <v>4752.2300000000005</v>
      </c>
      <c r="V263" s="156" t="s">
        <v>38</v>
      </c>
      <c r="W263" s="156">
        <f>W252+W258</f>
        <v>-1166266.6272928</v>
      </c>
      <c r="X263" s="156">
        <f>X252</f>
        <v>77134.523809523802</v>
      </c>
      <c r="Y263" s="156">
        <f>W263-X263</f>
        <v>-1243401.1511023238</v>
      </c>
      <c r="Z263" s="156" t="s">
        <v>39</v>
      </c>
      <c r="AA263" s="157">
        <f>AA252+AA258</f>
        <v>-1262423.1511023238</v>
      </c>
      <c r="AB263" s="152"/>
    </row>
    <row r="264" spans="2:31" x14ac:dyDescent="0.25">
      <c r="B264" s="39" t="s">
        <v>130</v>
      </c>
      <c r="C264" s="41">
        <f t="shared" ref="C264:N264" si="140">C247</f>
        <v>-677.01567999999997</v>
      </c>
      <c r="D264" s="41">
        <f t="shared" si="140"/>
        <v>-5157.2342047999991</v>
      </c>
      <c r="E264" s="41">
        <f t="shared" si="140"/>
        <v>-677.23420479999959</v>
      </c>
      <c r="F264" s="41">
        <f t="shared" si="140"/>
        <v>-677.23420479999959</v>
      </c>
      <c r="G264" s="41">
        <f t="shared" si="140"/>
        <v>-677.23420479999959</v>
      </c>
      <c r="H264" s="41">
        <f t="shared" si="140"/>
        <v>-677.23420479999959</v>
      </c>
      <c r="I264" s="41">
        <f t="shared" si="140"/>
        <v>-677.23420479999959</v>
      </c>
      <c r="J264" s="41">
        <f t="shared" si="140"/>
        <v>-677.23420479999959</v>
      </c>
      <c r="K264" s="41">
        <f t="shared" si="140"/>
        <v>-677.23420479999959</v>
      </c>
      <c r="L264" s="41">
        <f t="shared" si="140"/>
        <v>-677.23420479999959</v>
      </c>
      <c r="M264" s="41">
        <f t="shared" si="140"/>
        <v>-677.23420479999959</v>
      </c>
      <c r="N264" s="41">
        <f t="shared" si="140"/>
        <v>-677.23420479999959</v>
      </c>
      <c r="O264" s="34"/>
      <c r="P264" s="34"/>
      <c r="S264" s="144" t="s">
        <v>37</v>
      </c>
      <c r="T264" s="131">
        <f>T263</f>
        <v>4752.2300000000005</v>
      </c>
      <c r="Z264" s="158" t="s">
        <v>42</v>
      </c>
      <c r="AA264" s="159">
        <f>Y263-AA263</f>
        <v>19022</v>
      </c>
    </row>
    <row r="265" spans="2:31" x14ac:dyDescent="0.25">
      <c r="B265" s="59" t="s">
        <v>131</v>
      </c>
      <c r="C265" s="59">
        <f>SUM(C256:C264)</f>
        <v>76343.805868800002</v>
      </c>
      <c r="D265" s="59">
        <f t="shared" ref="D265:N265" si="141">SUM(D256:D264)</f>
        <v>44983.587344</v>
      </c>
      <c r="E265" s="59">
        <f t="shared" si="141"/>
        <v>49463.587344</v>
      </c>
      <c r="F265" s="59">
        <f t="shared" si="141"/>
        <v>49463.587344</v>
      </c>
      <c r="G265" s="59">
        <f t="shared" si="141"/>
        <v>49463.587344</v>
      </c>
      <c r="H265" s="59">
        <f t="shared" si="141"/>
        <v>49463.587344</v>
      </c>
      <c r="I265" s="59">
        <f t="shared" si="141"/>
        <v>49463.587344</v>
      </c>
      <c r="J265" s="59">
        <f t="shared" si="141"/>
        <v>49463.587344</v>
      </c>
      <c r="K265" s="59">
        <f t="shared" si="141"/>
        <v>49463.587344</v>
      </c>
      <c r="L265" s="59">
        <f t="shared" si="141"/>
        <v>57663.587344</v>
      </c>
      <c r="M265" s="59">
        <f t="shared" si="141"/>
        <v>49463.587344</v>
      </c>
      <c r="N265" s="59">
        <f t="shared" si="141"/>
        <v>49463.587344</v>
      </c>
      <c r="O265" s="34"/>
      <c r="P265" s="34"/>
      <c r="S265" s="154" t="s">
        <v>40</v>
      </c>
      <c r="T265" s="155">
        <f>T262-T264</f>
        <v>-4752.2300000000005</v>
      </c>
    </row>
    <row r="266" spans="2:31" x14ac:dyDescent="0.25">
      <c r="B266" s="59" t="s">
        <v>132</v>
      </c>
      <c r="C266" s="59">
        <f>W170</f>
        <v>-965304.87047999981</v>
      </c>
      <c r="D266" s="59">
        <f t="shared" ref="D266:N266" si="142">C268</f>
        <v>-1035092.9323487998</v>
      </c>
      <c r="E266" s="59">
        <f t="shared" si="142"/>
        <v>-1073324.1033727997</v>
      </c>
      <c r="F266" s="59">
        <f t="shared" si="142"/>
        <v>-1116035.2743967997</v>
      </c>
      <c r="G266" s="59">
        <f t="shared" si="142"/>
        <v>-1158746.4454207998</v>
      </c>
      <c r="H266" s="59">
        <f t="shared" si="142"/>
        <v>-1201457.6164447998</v>
      </c>
      <c r="I266" s="59">
        <f t="shared" si="142"/>
        <v>-1244168.7874687999</v>
      </c>
      <c r="J266" s="59">
        <f t="shared" si="142"/>
        <v>-1286879.9584927999</v>
      </c>
      <c r="K266" s="59">
        <f t="shared" si="142"/>
        <v>-1329591.1295167999</v>
      </c>
      <c r="L266" s="59">
        <f t="shared" si="142"/>
        <v>-1372302.3005408</v>
      </c>
      <c r="M266" s="59">
        <f t="shared" si="142"/>
        <v>-1423213.4715648</v>
      </c>
      <c r="N266" s="59">
        <f t="shared" si="142"/>
        <v>-1465924.6425888001</v>
      </c>
      <c r="O266" s="34"/>
      <c r="P266" s="34"/>
      <c r="S266" s="154" t="s">
        <v>43</v>
      </c>
      <c r="T266" s="155">
        <f>T261-(-T265)</f>
        <v>-499700.56800228567</v>
      </c>
    </row>
    <row r="267" spans="2:31" x14ac:dyDescent="0.25">
      <c r="B267" s="34" t="s">
        <v>133</v>
      </c>
      <c r="C267" s="34">
        <f>C255-C265</f>
        <v>-69788.061868799996</v>
      </c>
      <c r="D267" s="34">
        <f t="shared" ref="D267:N267" si="143">D255-D265</f>
        <v>-38231.171023999996</v>
      </c>
      <c r="E267" s="34">
        <f t="shared" si="143"/>
        <v>-42711.171023999996</v>
      </c>
      <c r="F267" s="34">
        <f t="shared" si="143"/>
        <v>-42711.171023999996</v>
      </c>
      <c r="G267" s="34">
        <f t="shared" si="143"/>
        <v>-42711.171023999996</v>
      </c>
      <c r="H267" s="34">
        <f t="shared" si="143"/>
        <v>-42711.171023999996</v>
      </c>
      <c r="I267" s="34">
        <f t="shared" si="143"/>
        <v>-42711.171023999996</v>
      </c>
      <c r="J267" s="34">
        <f t="shared" si="143"/>
        <v>-42711.171023999996</v>
      </c>
      <c r="K267" s="34">
        <f t="shared" si="143"/>
        <v>-42711.171023999996</v>
      </c>
      <c r="L267" s="34">
        <f t="shared" si="143"/>
        <v>-50911.171023999996</v>
      </c>
      <c r="M267" s="34">
        <f t="shared" si="143"/>
        <v>-42711.171023999996</v>
      </c>
      <c r="N267" s="34">
        <f t="shared" si="143"/>
        <v>-42711.171023999996</v>
      </c>
      <c r="O267" s="34"/>
      <c r="P267" s="34"/>
      <c r="S267" s="154" t="s">
        <v>45</v>
      </c>
      <c r="T267" s="21"/>
    </row>
    <row r="268" spans="2:31" x14ac:dyDescent="0.25">
      <c r="B268" s="59" t="s">
        <v>134</v>
      </c>
      <c r="C268" s="59">
        <f t="shared" ref="C268:N268" si="144">C266+C267</f>
        <v>-1035092.9323487998</v>
      </c>
      <c r="D268" s="59">
        <f t="shared" si="144"/>
        <v>-1073324.1033727997</v>
      </c>
      <c r="E268" s="59">
        <f t="shared" si="144"/>
        <v>-1116035.2743967997</v>
      </c>
      <c r="F268" s="59">
        <f t="shared" si="144"/>
        <v>-1158746.4454207998</v>
      </c>
      <c r="G268" s="59">
        <f t="shared" si="144"/>
        <v>-1201457.6164447998</v>
      </c>
      <c r="H268" s="59">
        <f t="shared" si="144"/>
        <v>-1244168.7874687999</v>
      </c>
      <c r="I268" s="59">
        <f t="shared" si="144"/>
        <v>-1286879.9584927999</v>
      </c>
      <c r="J268" s="59">
        <f t="shared" si="144"/>
        <v>-1329591.1295167999</v>
      </c>
      <c r="K268" s="59">
        <f t="shared" si="144"/>
        <v>-1372302.3005408</v>
      </c>
      <c r="L268" s="59">
        <f t="shared" si="144"/>
        <v>-1423213.4715648</v>
      </c>
      <c r="M268" s="59">
        <f t="shared" si="144"/>
        <v>-1465924.6425888001</v>
      </c>
      <c r="N268" s="59">
        <f t="shared" si="144"/>
        <v>-1508635.8136128001</v>
      </c>
      <c r="O268" s="60" t="s">
        <v>135</v>
      </c>
      <c r="P268" s="61">
        <f>N268</f>
        <v>-1508635.8136128001</v>
      </c>
      <c r="S268" s="160" t="s">
        <v>47</v>
      </c>
      <c r="T268" s="161">
        <f>T266</f>
        <v>-499700.56800228567</v>
      </c>
    </row>
  </sheetData>
  <mergeCells count="371">
    <mergeCell ref="B238:P238"/>
    <mergeCell ref="B250:P250"/>
    <mergeCell ref="S69:T69"/>
    <mergeCell ref="V143:V144"/>
    <mergeCell ref="W143:W144"/>
    <mergeCell ref="X143:X144"/>
    <mergeCell ref="B47:P47"/>
    <mergeCell ref="B56:P56"/>
    <mergeCell ref="B68:P68"/>
    <mergeCell ref="B138:P138"/>
    <mergeCell ref="B147:P147"/>
    <mergeCell ref="V69:AA69"/>
    <mergeCell ref="S234:S235"/>
    <mergeCell ref="T234:T235"/>
    <mergeCell ref="U234:U235"/>
    <mergeCell ref="V234:V235"/>
    <mergeCell ref="W234:W235"/>
    <mergeCell ref="X234:X235"/>
    <mergeCell ref="Y234:Y235"/>
    <mergeCell ref="Z234:Z235"/>
    <mergeCell ref="AA234:AA235"/>
    <mergeCell ref="K239:K240"/>
    <mergeCell ref="L239:L240"/>
    <mergeCell ref="M239:M240"/>
    <mergeCell ref="AB251:AB252"/>
    <mergeCell ref="AC251:AC252"/>
    <mergeCell ref="AD251:AD252"/>
    <mergeCell ref="AE251:AE252"/>
    <mergeCell ref="AB160:AB161"/>
    <mergeCell ref="AC160:AC161"/>
    <mergeCell ref="AD160:AD161"/>
    <mergeCell ref="AE160:AE161"/>
    <mergeCell ref="AB234:AB235"/>
    <mergeCell ref="AC234:AC235"/>
    <mergeCell ref="AD234:AD235"/>
    <mergeCell ref="AE234:AE235"/>
    <mergeCell ref="J251:J252"/>
    <mergeCell ref="K251:K252"/>
    <mergeCell ref="L251:L252"/>
    <mergeCell ref="M251:M252"/>
    <mergeCell ref="N251:N252"/>
    <mergeCell ref="O251:P251"/>
    <mergeCell ref="S250:T250"/>
    <mergeCell ref="V250:AA250"/>
    <mergeCell ref="B251:B252"/>
    <mergeCell ref="C251:C252"/>
    <mergeCell ref="D251:D252"/>
    <mergeCell ref="E251:E252"/>
    <mergeCell ref="F251:F252"/>
    <mergeCell ref="G251:G252"/>
    <mergeCell ref="H251:H252"/>
    <mergeCell ref="I251:I252"/>
    <mergeCell ref="N239:N240"/>
    <mergeCell ref="O239:P239"/>
    <mergeCell ref="B239:B240"/>
    <mergeCell ref="C239:C240"/>
    <mergeCell ref="D239:D240"/>
    <mergeCell ref="E239:E240"/>
    <mergeCell ref="F239:F240"/>
    <mergeCell ref="G239:G240"/>
    <mergeCell ref="H239:H240"/>
    <mergeCell ref="I239:I240"/>
    <mergeCell ref="J239:J240"/>
    <mergeCell ref="J230:J231"/>
    <mergeCell ref="K230:K231"/>
    <mergeCell ref="L230:L231"/>
    <mergeCell ref="M230:M231"/>
    <mergeCell ref="N230:N231"/>
    <mergeCell ref="O230:P230"/>
    <mergeCell ref="O220:P220"/>
    <mergeCell ref="B230:B231"/>
    <mergeCell ref="C230:C231"/>
    <mergeCell ref="D230:D231"/>
    <mergeCell ref="E230:E231"/>
    <mergeCell ref="F230:F231"/>
    <mergeCell ref="G230:G231"/>
    <mergeCell ref="H230:H231"/>
    <mergeCell ref="I230:I231"/>
    <mergeCell ref="I220:I221"/>
    <mergeCell ref="J220:J221"/>
    <mergeCell ref="K220:K221"/>
    <mergeCell ref="L220:L221"/>
    <mergeCell ref="M220:M221"/>
    <mergeCell ref="N220:N221"/>
    <mergeCell ref="B229:P229"/>
    <mergeCell ref="N202:N203"/>
    <mergeCell ref="O202:P202"/>
    <mergeCell ref="B219:P219"/>
    <mergeCell ref="B220:B221"/>
    <mergeCell ref="C220:C221"/>
    <mergeCell ref="D220:D221"/>
    <mergeCell ref="E220:E221"/>
    <mergeCell ref="F220:F221"/>
    <mergeCell ref="G220:G221"/>
    <mergeCell ref="H220:H221"/>
    <mergeCell ref="H202:H203"/>
    <mergeCell ref="I202:I203"/>
    <mergeCell ref="J202:J203"/>
    <mergeCell ref="K202:K203"/>
    <mergeCell ref="L202:L203"/>
    <mergeCell ref="M202:M203"/>
    <mergeCell ref="B202:B203"/>
    <mergeCell ref="C202:C203"/>
    <mergeCell ref="D202:D203"/>
    <mergeCell ref="E202:E203"/>
    <mergeCell ref="F202:F203"/>
    <mergeCell ref="G202:G203"/>
    <mergeCell ref="K193:K194"/>
    <mergeCell ref="L193:L194"/>
    <mergeCell ref="M193:M194"/>
    <mergeCell ref="N193:N194"/>
    <mergeCell ref="O193:P193"/>
    <mergeCell ref="B201:P201"/>
    <mergeCell ref="B192:P192"/>
    <mergeCell ref="B193:B194"/>
    <mergeCell ref="C193:C194"/>
    <mergeCell ref="D193:D194"/>
    <mergeCell ref="E193:E194"/>
    <mergeCell ref="F193:F194"/>
    <mergeCell ref="G193:G194"/>
    <mergeCell ref="H193:H194"/>
    <mergeCell ref="I193:I194"/>
    <mergeCell ref="J193:J194"/>
    <mergeCell ref="J184:J185"/>
    <mergeCell ref="K184:K185"/>
    <mergeCell ref="L184:L185"/>
    <mergeCell ref="M184:M185"/>
    <mergeCell ref="N184:N185"/>
    <mergeCell ref="O184:P184"/>
    <mergeCell ref="O160:P160"/>
    <mergeCell ref="B183:P183"/>
    <mergeCell ref="B184:B185"/>
    <mergeCell ref="C184:C185"/>
    <mergeCell ref="D184:D185"/>
    <mergeCell ref="E184:E185"/>
    <mergeCell ref="F184:F185"/>
    <mergeCell ref="G184:G185"/>
    <mergeCell ref="H184:H185"/>
    <mergeCell ref="I184:I185"/>
    <mergeCell ref="I160:I161"/>
    <mergeCell ref="J160:J161"/>
    <mergeCell ref="K160:K161"/>
    <mergeCell ref="L160:L161"/>
    <mergeCell ref="M160:M161"/>
    <mergeCell ref="N160:N161"/>
    <mergeCell ref="S159:T159"/>
    <mergeCell ref="V159:AA159"/>
    <mergeCell ref="B160:B161"/>
    <mergeCell ref="C160:C161"/>
    <mergeCell ref="D160:D161"/>
    <mergeCell ref="E160:E161"/>
    <mergeCell ref="F160:F161"/>
    <mergeCell ref="G160:G161"/>
    <mergeCell ref="H160:H161"/>
    <mergeCell ref="B159:P159"/>
    <mergeCell ref="J148:J149"/>
    <mergeCell ref="K148:K149"/>
    <mergeCell ref="L148:L149"/>
    <mergeCell ref="M148:M149"/>
    <mergeCell ref="N148:N149"/>
    <mergeCell ref="O148:P148"/>
    <mergeCell ref="AE143:AE144"/>
    <mergeCell ref="B148:B149"/>
    <mergeCell ref="C148:C149"/>
    <mergeCell ref="D148:D149"/>
    <mergeCell ref="E148:E149"/>
    <mergeCell ref="F148:F149"/>
    <mergeCell ref="G148:G149"/>
    <mergeCell ref="H148:H149"/>
    <mergeCell ref="I148:I149"/>
    <mergeCell ref="Y143:Y144"/>
    <mergeCell ref="Z143:Z144"/>
    <mergeCell ref="AA143:AA144"/>
    <mergeCell ref="AB143:AB144"/>
    <mergeCell ref="AC143:AC144"/>
    <mergeCell ref="AD143:AD144"/>
    <mergeCell ref="S143:S144"/>
    <mergeCell ref="T143:T144"/>
    <mergeCell ref="U143:U144"/>
    <mergeCell ref="J139:J140"/>
    <mergeCell ref="K139:K140"/>
    <mergeCell ref="L139:L140"/>
    <mergeCell ref="M139:M140"/>
    <mergeCell ref="N139:N140"/>
    <mergeCell ref="O139:P139"/>
    <mergeCell ref="B139:B140"/>
    <mergeCell ref="C139:C140"/>
    <mergeCell ref="D139:D140"/>
    <mergeCell ref="E139:E140"/>
    <mergeCell ref="F139:F140"/>
    <mergeCell ref="G139:G140"/>
    <mergeCell ref="H139:H140"/>
    <mergeCell ref="I139:I140"/>
    <mergeCell ref="I112:I113"/>
    <mergeCell ref="J112:J113"/>
    <mergeCell ref="K112:K113"/>
    <mergeCell ref="L112:L113"/>
    <mergeCell ref="M112:M113"/>
    <mergeCell ref="B112:B113"/>
    <mergeCell ref="C112:C113"/>
    <mergeCell ref="D112:D113"/>
    <mergeCell ref="E112:E113"/>
    <mergeCell ref="F112:F113"/>
    <mergeCell ref="G112:G113"/>
    <mergeCell ref="O129:P129"/>
    <mergeCell ref="I129:I130"/>
    <mergeCell ref="K103:K104"/>
    <mergeCell ref="L103:L104"/>
    <mergeCell ref="M103:M104"/>
    <mergeCell ref="N103:N104"/>
    <mergeCell ref="O103:P103"/>
    <mergeCell ref="B111:P111"/>
    <mergeCell ref="N112:N113"/>
    <mergeCell ref="J129:J130"/>
    <mergeCell ref="K129:K130"/>
    <mergeCell ref="L129:L130"/>
    <mergeCell ref="M129:M130"/>
    <mergeCell ref="N129:N130"/>
    <mergeCell ref="O112:P112"/>
    <mergeCell ref="B128:P128"/>
    <mergeCell ref="B129:B130"/>
    <mergeCell ref="C129:C130"/>
    <mergeCell ref="D129:D130"/>
    <mergeCell ref="E129:E130"/>
    <mergeCell ref="F129:F130"/>
    <mergeCell ref="G129:G130"/>
    <mergeCell ref="H129:H130"/>
    <mergeCell ref="H112:H113"/>
    <mergeCell ref="B102:P102"/>
    <mergeCell ref="B103:B104"/>
    <mergeCell ref="C103:C104"/>
    <mergeCell ref="D103:D104"/>
    <mergeCell ref="E103:E104"/>
    <mergeCell ref="F103:F104"/>
    <mergeCell ref="G103:G104"/>
    <mergeCell ref="H103:H104"/>
    <mergeCell ref="I103:I104"/>
    <mergeCell ref="J103:J104"/>
    <mergeCell ref="J94:J95"/>
    <mergeCell ref="K94:K95"/>
    <mergeCell ref="L94:L95"/>
    <mergeCell ref="M94:M95"/>
    <mergeCell ref="N94:N95"/>
    <mergeCell ref="O94:P94"/>
    <mergeCell ref="B93:P93"/>
    <mergeCell ref="B94:B95"/>
    <mergeCell ref="C94:C95"/>
    <mergeCell ref="D94:D95"/>
    <mergeCell ref="E94:E95"/>
    <mergeCell ref="F94:F95"/>
    <mergeCell ref="G94:G95"/>
    <mergeCell ref="H94:H95"/>
    <mergeCell ref="I94:I95"/>
    <mergeCell ref="J69:J70"/>
    <mergeCell ref="K69:K70"/>
    <mergeCell ref="L69:L70"/>
    <mergeCell ref="M69:M70"/>
    <mergeCell ref="N69:N70"/>
    <mergeCell ref="O69:P69"/>
    <mergeCell ref="B69:B70"/>
    <mergeCell ref="C69:C70"/>
    <mergeCell ref="D69:D70"/>
    <mergeCell ref="E69:E70"/>
    <mergeCell ref="F69:F70"/>
    <mergeCell ref="G69:G70"/>
    <mergeCell ref="H69:H70"/>
    <mergeCell ref="I69:I70"/>
    <mergeCell ref="V46:V47"/>
    <mergeCell ref="W46:W47"/>
    <mergeCell ref="J57:J58"/>
    <mergeCell ref="K57:K58"/>
    <mergeCell ref="L57:L58"/>
    <mergeCell ref="M57:M58"/>
    <mergeCell ref="N57:N58"/>
    <mergeCell ref="O57:P57"/>
    <mergeCell ref="O48:P48"/>
    <mergeCell ref="J48:J49"/>
    <mergeCell ref="K48:K49"/>
    <mergeCell ref="L48:L49"/>
    <mergeCell ref="M48:M49"/>
    <mergeCell ref="N48:N49"/>
    <mergeCell ref="B57:B58"/>
    <mergeCell ref="C57:C58"/>
    <mergeCell ref="D57:D58"/>
    <mergeCell ref="E57:E58"/>
    <mergeCell ref="F57:F58"/>
    <mergeCell ref="G57:G58"/>
    <mergeCell ref="H57:H58"/>
    <mergeCell ref="I57:I58"/>
    <mergeCell ref="I48:I49"/>
    <mergeCell ref="K21:K22"/>
    <mergeCell ref="L21:L22"/>
    <mergeCell ref="M21:M22"/>
    <mergeCell ref="B21:B22"/>
    <mergeCell ref="C21:C22"/>
    <mergeCell ref="AD46:AD47"/>
    <mergeCell ref="AE46:AE47"/>
    <mergeCell ref="B48:B49"/>
    <mergeCell ref="C48:C49"/>
    <mergeCell ref="D48:D49"/>
    <mergeCell ref="E48:E49"/>
    <mergeCell ref="F48:F49"/>
    <mergeCell ref="G48:G49"/>
    <mergeCell ref="H48:H49"/>
    <mergeCell ref="X46:X47"/>
    <mergeCell ref="Y46:Y47"/>
    <mergeCell ref="Z46:Z47"/>
    <mergeCell ref="AA46:AA47"/>
    <mergeCell ref="AB46:AB47"/>
    <mergeCell ref="AC46:AC47"/>
    <mergeCell ref="S46:S47"/>
    <mergeCell ref="T46:T47"/>
    <mergeCell ref="U46:U47"/>
    <mergeCell ref="O37:P37"/>
    <mergeCell ref="K12:K13"/>
    <mergeCell ref="L12:L13"/>
    <mergeCell ref="M12:M13"/>
    <mergeCell ref="N12:N13"/>
    <mergeCell ref="O12:P12"/>
    <mergeCell ref="B20:P20"/>
    <mergeCell ref="I37:I38"/>
    <mergeCell ref="J37:J38"/>
    <mergeCell ref="K37:K38"/>
    <mergeCell ref="L37:L38"/>
    <mergeCell ref="M37:M38"/>
    <mergeCell ref="N37:N38"/>
    <mergeCell ref="N21:N22"/>
    <mergeCell ref="O21:P21"/>
    <mergeCell ref="B36:P36"/>
    <mergeCell ref="B37:B38"/>
    <mergeCell ref="C37:C38"/>
    <mergeCell ref="D37:D38"/>
    <mergeCell ref="E37:E38"/>
    <mergeCell ref="F37:F38"/>
    <mergeCell ref="G37:G38"/>
    <mergeCell ref="H37:H38"/>
    <mergeCell ref="H21:H22"/>
    <mergeCell ref="F12:F13"/>
    <mergeCell ref="H12:H13"/>
    <mergeCell ref="I12:I13"/>
    <mergeCell ref="J12:J13"/>
    <mergeCell ref="D21:D22"/>
    <mergeCell ref="E21:E22"/>
    <mergeCell ref="F21:F22"/>
    <mergeCell ref="G21:G22"/>
    <mergeCell ref="I21:I22"/>
    <mergeCell ref="J21:J22"/>
    <mergeCell ref="B1:P1"/>
    <mergeCell ref="B90:P90"/>
    <mergeCell ref="B180:P180"/>
    <mergeCell ref="K3:K4"/>
    <mergeCell ref="L3:L4"/>
    <mergeCell ref="M3:M4"/>
    <mergeCell ref="N3:N4"/>
    <mergeCell ref="O3:P3"/>
    <mergeCell ref="B2:P2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B11:P11"/>
    <mergeCell ref="B12:B13"/>
    <mergeCell ref="C12:C13"/>
    <mergeCell ref="D12:D13"/>
    <mergeCell ref="E12:E13"/>
    <mergeCell ref="G12:G13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D0DFB-8ADC-42B8-9F5A-B32AFC68328E}">
  <sheetPr codeName="Feuil16">
    <tabColor theme="9" tint="0.39997558519241921"/>
  </sheetPr>
  <dimension ref="B1:AE277"/>
  <sheetViews>
    <sheetView showGridLines="0" topLeftCell="A234" zoomScale="61" zoomScaleNormal="85" workbookViewId="0">
      <selection activeCell="N90" sqref="N90"/>
    </sheetView>
  </sheetViews>
  <sheetFormatPr baseColWidth="10" defaultColWidth="10.7109375" defaultRowHeight="15" x14ac:dyDescent="0.25"/>
  <cols>
    <col min="1" max="1" width="10.7109375" style="20"/>
    <col min="2" max="2" width="34.85546875" style="20" customWidth="1"/>
    <col min="3" max="3" width="13.7109375" style="20" customWidth="1"/>
    <col min="4" max="4" width="13.42578125" style="20" customWidth="1"/>
    <col min="5" max="5" width="15.5703125" style="20" customWidth="1"/>
    <col min="6" max="6" width="13.85546875" style="20" customWidth="1"/>
    <col min="7" max="7" width="13.140625" style="20" customWidth="1"/>
    <col min="8" max="8" width="12.85546875" style="20" customWidth="1"/>
    <col min="9" max="9" width="17.28515625" style="20" customWidth="1"/>
    <col min="10" max="11" width="13.7109375" style="20" customWidth="1"/>
    <col min="12" max="12" width="15.85546875" style="20" customWidth="1"/>
    <col min="13" max="13" width="13.28515625" style="20" customWidth="1"/>
    <col min="14" max="14" width="14.85546875" style="20" customWidth="1"/>
    <col min="15" max="15" width="32.42578125" style="20" bestFit="1" customWidth="1"/>
    <col min="16" max="16" width="14.85546875" style="20" customWidth="1"/>
    <col min="17" max="18" width="9.140625" style="20" bestFit="1" customWidth="1"/>
    <col min="19" max="19" width="36.42578125" style="20" customWidth="1"/>
    <col min="20" max="20" width="15.7109375" style="20" customWidth="1"/>
    <col min="21" max="21" width="11.42578125" style="20" customWidth="1"/>
    <col min="22" max="22" width="36.85546875" style="20" customWidth="1"/>
    <col min="23" max="23" width="9.140625" style="20" customWidth="1"/>
    <col min="24" max="24" width="11.85546875" style="20" bestFit="1" customWidth="1"/>
    <col min="25" max="25" width="19.5703125" style="20" customWidth="1"/>
    <col min="26" max="26" width="40.28515625" style="20" bestFit="1" customWidth="1"/>
    <col min="27" max="27" width="18.85546875" style="20" customWidth="1"/>
    <col min="28" max="29" width="10.7109375" style="20"/>
    <col min="30" max="30" width="24.7109375" style="20" customWidth="1"/>
    <col min="31" max="31" width="15.5703125" style="20" customWidth="1"/>
    <col min="32" max="32" width="10.7109375" style="20"/>
    <col min="33" max="33" width="20.42578125" style="20" customWidth="1"/>
    <col min="34" max="36" width="10.7109375" style="20"/>
    <col min="37" max="37" width="18.85546875" style="20" customWidth="1"/>
    <col min="38" max="38" width="23.5703125" style="20" customWidth="1"/>
    <col min="39" max="16384" width="10.7109375" style="20"/>
  </cols>
  <sheetData>
    <row r="1" spans="2:16" ht="21" x14ac:dyDescent="0.35">
      <c r="B1" s="291" t="s">
        <v>48</v>
      </c>
      <c r="C1" s="291"/>
      <c r="D1" s="291"/>
      <c r="E1" s="291"/>
      <c r="F1" s="291"/>
      <c r="G1" s="291"/>
      <c r="H1" s="291"/>
      <c r="I1" s="291"/>
      <c r="J1" s="291"/>
      <c r="K1" s="291"/>
      <c r="L1" s="291"/>
      <c r="M1" s="291"/>
      <c r="N1" s="291"/>
      <c r="O1" s="291"/>
      <c r="P1" s="291"/>
    </row>
    <row r="2" spans="2:16" x14ac:dyDescent="0.25">
      <c r="B2" s="288" t="s">
        <v>49</v>
      </c>
      <c r="C2" s="288"/>
      <c r="D2" s="288"/>
      <c r="E2" s="288"/>
      <c r="F2" s="288"/>
      <c r="G2" s="288"/>
      <c r="H2" s="288"/>
      <c r="I2" s="288"/>
      <c r="J2" s="288"/>
      <c r="K2" s="288"/>
      <c r="L2" s="288"/>
      <c r="M2" s="288"/>
      <c r="N2" s="288"/>
      <c r="O2" s="288"/>
      <c r="P2" s="288"/>
    </row>
    <row r="3" spans="2:16" ht="14.25" customHeight="1" x14ac:dyDescent="0.25">
      <c r="B3" s="213"/>
      <c r="C3" s="215" t="s">
        <v>50</v>
      </c>
      <c r="D3" s="215" t="s">
        <v>51</v>
      </c>
      <c r="E3" s="215" t="s">
        <v>52</v>
      </c>
      <c r="F3" s="215" t="s">
        <v>53</v>
      </c>
      <c r="G3" s="215" t="s">
        <v>54</v>
      </c>
      <c r="H3" s="215" t="s">
        <v>55</v>
      </c>
      <c r="I3" s="215" t="s">
        <v>56</v>
      </c>
      <c r="J3" s="215" t="s">
        <v>57</v>
      </c>
      <c r="K3" s="215" t="s">
        <v>58</v>
      </c>
      <c r="L3" s="215" t="s">
        <v>59</v>
      </c>
      <c r="M3" s="215" t="s">
        <v>60</v>
      </c>
      <c r="N3" s="215" t="s">
        <v>61</v>
      </c>
      <c r="O3" s="220" t="s">
        <v>62</v>
      </c>
      <c r="P3" s="221"/>
    </row>
    <row r="4" spans="2:16" ht="14.25" customHeight="1" x14ac:dyDescent="0.25">
      <c r="B4" s="214"/>
      <c r="C4" s="216"/>
      <c r="D4" s="216"/>
      <c r="E4" s="216"/>
      <c r="F4" s="216"/>
      <c r="G4" s="216"/>
      <c r="H4" s="216"/>
      <c r="I4" s="216"/>
      <c r="J4" s="216"/>
      <c r="K4" s="216"/>
      <c r="L4" s="216"/>
      <c r="M4" s="216"/>
      <c r="N4" s="216"/>
      <c r="O4" s="58" t="s">
        <v>64</v>
      </c>
      <c r="P4" s="58" t="s">
        <v>65</v>
      </c>
    </row>
    <row r="5" spans="2:16" x14ac:dyDescent="0.25">
      <c r="B5" s="35" t="s">
        <v>66</v>
      </c>
      <c r="C5" s="35">
        <f>'Bilan et CDR N'!$C$5*1.02/12</f>
        <v>5304</v>
      </c>
      <c r="D5" s="35">
        <f>'Bilan et CDR N'!$C$5*1.02/12</f>
        <v>5304</v>
      </c>
      <c r="E5" s="35">
        <f>'Bilan et CDR N'!$C$5*1.02/12</f>
        <v>5304</v>
      </c>
      <c r="F5" s="35">
        <f>'Bilan et CDR N'!$C$5*1.02/12</f>
        <v>5304</v>
      </c>
      <c r="G5" s="35">
        <f>'Bilan et CDR N'!$C$5*1.02/12</f>
        <v>5304</v>
      </c>
      <c r="H5" s="35">
        <f>'Bilan et CDR N'!$C$5*1.02/12</f>
        <v>5304</v>
      </c>
      <c r="I5" s="35">
        <f>'Bilan et CDR N'!$C$5*1.02/12</f>
        <v>5304</v>
      </c>
      <c r="J5" s="35">
        <f>'Bilan et CDR N'!$C$5*1.02/12</f>
        <v>5304</v>
      </c>
      <c r="K5" s="35">
        <f>'Bilan et CDR N'!$C$5*1.02/12</f>
        <v>5304</v>
      </c>
      <c r="L5" s="35">
        <f>'Bilan et CDR N'!$C$5*1.02/12</f>
        <v>5304</v>
      </c>
      <c r="M5" s="35">
        <f>'Bilan et CDR N'!$C$5*1.02/12</f>
        <v>5304</v>
      </c>
      <c r="N5" s="35">
        <f>'Bilan et CDR N'!$C$5*1.02/12</f>
        <v>5304</v>
      </c>
      <c r="O5" s="60" t="s">
        <v>1</v>
      </c>
      <c r="P5" s="61">
        <f>SUM(C5:N5)</f>
        <v>63648</v>
      </c>
    </row>
    <row r="6" spans="2:16" ht="14.25" customHeight="1" x14ac:dyDescent="0.25">
      <c r="B6" s="34" t="s">
        <v>68</v>
      </c>
      <c r="C6" s="34">
        <f t="shared" ref="C6:N6" si="0">C5*20%</f>
        <v>1060.8</v>
      </c>
      <c r="D6" s="34">
        <f t="shared" si="0"/>
        <v>1060.8</v>
      </c>
      <c r="E6" s="34">
        <f t="shared" si="0"/>
        <v>1060.8</v>
      </c>
      <c r="F6" s="34">
        <f t="shared" si="0"/>
        <v>1060.8</v>
      </c>
      <c r="G6" s="34">
        <f t="shared" si="0"/>
        <v>1060.8</v>
      </c>
      <c r="H6" s="34">
        <f t="shared" si="0"/>
        <v>1060.8</v>
      </c>
      <c r="I6" s="34">
        <f t="shared" si="0"/>
        <v>1060.8</v>
      </c>
      <c r="J6" s="34">
        <f t="shared" si="0"/>
        <v>1060.8</v>
      </c>
      <c r="K6" s="34">
        <f t="shared" si="0"/>
        <v>1060.8</v>
      </c>
      <c r="L6" s="34">
        <f t="shared" si="0"/>
        <v>1060.8</v>
      </c>
      <c r="M6" s="34">
        <f t="shared" si="0"/>
        <v>1060.8</v>
      </c>
      <c r="N6" s="34">
        <f t="shared" si="0"/>
        <v>1060.8</v>
      </c>
      <c r="O6" s="34"/>
      <c r="P6" s="34"/>
    </row>
    <row r="7" spans="2:16" ht="14.25" customHeight="1" x14ac:dyDescent="0.25">
      <c r="B7" s="34" t="s">
        <v>69</v>
      </c>
      <c r="C7" s="34">
        <f t="shared" ref="C7:N7" si="1">C5+C6</f>
        <v>6364.8</v>
      </c>
      <c r="D7" s="34">
        <f t="shared" si="1"/>
        <v>6364.8</v>
      </c>
      <c r="E7" s="34">
        <f t="shared" si="1"/>
        <v>6364.8</v>
      </c>
      <c r="F7" s="34">
        <f t="shared" si="1"/>
        <v>6364.8</v>
      </c>
      <c r="G7" s="34">
        <f t="shared" si="1"/>
        <v>6364.8</v>
      </c>
      <c r="H7" s="34">
        <f t="shared" si="1"/>
        <v>6364.8</v>
      </c>
      <c r="I7" s="34">
        <f t="shared" si="1"/>
        <v>6364.8</v>
      </c>
      <c r="J7" s="34">
        <f t="shared" si="1"/>
        <v>6364.8</v>
      </c>
      <c r="K7" s="34">
        <f t="shared" si="1"/>
        <v>6364.8</v>
      </c>
      <c r="L7" s="34">
        <f t="shared" si="1"/>
        <v>6364.8</v>
      </c>
      <c r="M7" s="34">
        <f t="shared" si="1"/>
        <v>6364.8</v>
      </c>
      <c r="N7" s="34">
        <f t="shared" si="1"/>
        <v>6364.8</v>
      </c>
      <c r="O7" s="34"/>
      <c r="P7" s="34"/>
    </row>
    <row r="8" spans="2:16" x14ac:dyDescent="0.25">
      <c r="B8" s="81" t="s">
        <v>139</v>
      </c>
      <c r="C8" s="81">
        <f>'Bilan et CDR N'!I14</f>
        <v>78000</v>
      </c>
      <c r="D8" s="81">
        <f>C7</f>
        <v>6364.8</v>
      </c>
      <c r="E8" s="81">
        <f>D7</f>
        <v>6364.8</v>
      </c>
      <c r="F8" s="81">
        <f t="shared" ref="F8:N8" si="2">E7</f>
        <v>6364.8</v>
      </c>
      <c r="G8" s="81">
        <f t="shared" si="2"/>
        <v>6364.8</v>
      </c>
      <c r="H8" s="81">
        <f t="shared" si="2"/>
        <v>6364.8</v>
      </c>
      <c r="I8" s="81">
        <f t="shared" si="2"/>
        <v>6364.8</v>
      </c>
      <c r="J8" s="81">
        <f t="shared" si="2"/>
        <v>6364.8</v>
      </c>
      <c r="K8" s="81">
        <f t="shared" si="2"/>
        <v>6364.8</v>
      </c>
      <c r="L8" s="81">
        <f t="shared" si="2"/>
        <v>6364.8</v>
      </c>
      <c r="M8" s="81">
        <f t="shared" si="2"/>
        <v>6364.8</v>
      </c>
      <c r="N8" s="81">
        <f t="shared" si="2"/>
        <v>6364.8</v>
      </c>
      <c r="O8" s="82" t="s">
        <v>72</v>
      </c>
      <c r="P8" s="83">
        <f>N7</f>
        <v>6364.8</v>
      </c>
    </row>
    <row r="9" spans="2:16" x14ac:dyDescent="0.25">
      <c r="B9" s="34" t="s">
        <v>208</v>
      </c>
      <c r="C9" s="34"/>
      <c r="D9" s="34"/>
      <c r="E9" s="34">
        <v>30000</v>
      </c>
      <c r="F9" s="34"/>
      <c r="G9" s="34"/>
      <c r="H9" s="34"/>
      <c r="I9" s="34"/>
      <c r="J9" s="34"/>
      <c r="K9" s="34"/>
      <c r="L9" s="34"/>
      <c r="M9" s="34"/>
      <c r="N9" s="34"/>
      <c r="O9" s="61" t="s">
        <v>209</v>
      </c>
      <c r="P9" s="61">
        <v>30000</v>
      </c>
    </row>
    <row r="11" spans="2:16" ht="14.25" customHeight="1" x14ac:dyDescent="0.25">
      <c r="B11" s="288" t="s">
        <v>74</v>
      </c>
      <c r="C11" s="288"/>
      <c r="D11" s="288"/>
      <c r="E11" s="288"/>
      <c r="F11" s="288"/>
      <c r="G11" s="288"/>
      <c r="H11" s="288"/>
      <c r="I11" s="288"/>
      <c r="J11" s="288"/>
      <c r="K11" s="288"/>
      <c r="L11" s="288"/>
      <c r="M11" s="288"/>
      <c r="N11" s="288"/>
      <c r="O11" s="288"/>
      <c r="P11" s="288"/>
    </row>
    <row r="12" spans="2:16" x14ac:dyDescent="0.25">
      <c r="B12" s="213"/>
      <c r="C12" s="215" t="s">
        <v>50</v>
      </c>
      <c r="D12" s="215" t="s">
        <v>51</v>
      </c>
      <c r="E12" s="215" t="s">
        <v>52</v>
      </c>
      <c r="F12" s="215" t="s">
        <v>53</v>
      </c>
      <c r="G12" s="215" t="s">
        <v>54</v>
      </c>
      <c r="H12" s="215" t="s">
        <v>55</v>
      </c>
      <c r="I12" s="215" t="s">
        <v>56</v>
      </c>
      <c r="J12" s="215" t="s">
        <v>57</v>
      </c>
      <c r="K12" s="215" t="s">
        <v>58</v>
      </c>
      <c r="L12" s="215" t="s">
        <v>59</v>
      </c>
      <c r="M12" s="215" t="s">
        <v>60</v>
      </c>
      <c r="N12" s="215" t="s">
        <v>61</v>
      </c>
      <c r="O12" s="220" t="s">
        <v>62</v>
      </c>
      <c r="P12" s="221"/>
    </row>
    <row r="13" spans="2:16" ht="14.25" customHeight="1" x14ac:dyDescent="0.25">
      <c r="B13" s="214"/>
      <c r="C13" s="216"/>
      <c r="D13" s="216"/>
      <c r="E13" s="216"/>
      <c r="F13" s="216"/>
      <c r="G13" s="216"/>
      <c r="H13" s="216"/>
      <c r="I13" s="216"/>
      <c r="J13" s="216"/>
      <c r="K13" s="216"/>
      <c r="L13" s="216"/>
      <c r="M13" s="216"/>
      <c r="N13" s="216"/>
      <c r="O13" s="58" t="s">
        <v>64</v>
      </c>
      <c r="P13" s="58" t="s">
        <v>65</v>
      </c>
    </row>
    <row r="14" spans="2:16" x14ac:dyDescent="0.25">
      <c r="B14" s="35" t="s">
        <v>77</v>
      </c>
      <c r="C14" s="35">
        <f t="shared" ref="C14:N14" si="3">C5*30%</f>
        <v>1591.2</v>
      </c>
      <c r="D14" s="35">
        <f t="shared" si="3"/>
        <v>1591.2</v>
      </c>
      <c r="E14" s="35">
        <f t="shared" si="3"/>
        <v>1591.2</v>
      </c>
      <c r="F14" s="35">
        <f t="shared" si="3"/>
        <v>1591.2</v>
      </c>
      <c r="G14" s="35">
        <f t="shared" si="3"/>
        <v>1591.2</v>
      </c>
      <c r="H14" s="35">
        <f t="shared" si="3"/>
        <v>1591.2</v>
      </c>
      <c r="I14" s="35">
        <f t="shared" si="3"/>
        <v>1591.2</v>
      </c>
      <c r="J14" s="35">
        <f t="shared" si="3"/>
        <v>1591.2</v>
      </c>
      <c r="K14" s="35">
        <f t="shared" si="3"/>
        <v>1591.2</v>
      </c>
      <c r="L14" s="35">
        <f t="shared" si="3"/>
        <v>1591.2</v>
      </c>
      <c r="M14" s="35">
        <f t="shared" si="3"/>
        <v>1591.2</v>
      </c>
      <c r="N14" s="35">
        <f t="shared" si="3"/>
        <v>1591.2</v>
      </c>
      <c r="O14" s="60" t="s">
        <v>78</v>
      </c>
      <c r="P14" s="61">
        <f>SUM(C14:N14)</f>
        <v>19094.400000000005</v>
      </c>
    </row>
    <row r="15" spans="2:16" ht="14.25" customHeight="1" x14ac:dyDescent="0.25">
      <c r="B15" s="34" t="s">
        <v>79</v>
      </c>
      <c r="C15" s="34">
        <f t="shared" ref="C15:N15" si="4">C14*20%</f>
        <v>318.24</v>
      </c>
      <c r="D15" s="34">
        <f t="shared" si="4"/>
        <v>318.24</v>
      </c>
      <c r="E15" s="34">
        <f t="shared" si="4"/>
        <v>318.24</v>
      </c>
      <c r="F15" s="34">
        <f t="shared" si="4"/>
        <v>318.24</v>
      </c>
      <c r="G15" s="34">
        <f t="shared" si="4"/>
        <v>318.24</v>
      </c>
      <c r="H15" s="34">
        <f t="shared" si="4"/>
        <v>318.24</v>
      </c>
      <c r="I15" s="34">
        <f t="shared" si="4"/>
        <v>318.24</v>
      </c>
      <c r="J15" s="34">
        <f t="shared" si="4"/>
        <v>318.24</v>
      </c>
      <c r="K15" s="34">
        <f t="shared" si="4"/>
        <v>318.24</v>
      </c>
      <c r="L15" s="34">
        <f t="shared" si="4"/>
        <v>318.24</v>
      </c>
      <c r="M15" s="34">
        <f t="shared" si="4"/>
        <v>318.24</v>
      </c>
      <c r="N15" s="34">
        <f t="shared" si="4"/>
        <v>318.24</v>
      </c>
      <c r="O15" s="34"/>
      <c r="P15" s="34"/>
    </row>
    <row r="16" spans="2:16" x14ac:dyDescent="0.25">
      <c r="B16" s="34" t="s">
        <v>80</v>
      </c>
      <c r="C16" s="34">
        <f t="shared" ref="C16:N16" si="5">C14+C15</f>
        <v>1909.44</v>
      </c>
      <c r="D16" s="34">
        <f t="shared" si="5"/>
        <v>1909.44</v>
      </c>
      <c r="E16" s="34">
        <f t="shared" si="5"/>
        <v>1909.44</v>
      </c>
      <c r="F16" s="34">
        <f t="shared" si="5"/>
        <v>1909.44</v>
      </c>
      <c r="G16" s="34">
        <f t="shared" si="5"/>
        <v>1909.44</v>
      </c>
      <c r="H16" s="34">
        <f t="shared" si="5"/>
        <v>1909.44</v>
      </c>
      <c r="I16" s="34">
        <f t="shared" si="5"/>
        <v>1909.44</v>
      </c>
      <c r="J16" s="34">
        <f t="shared" si="5"/>
        <v>1909.44</v>
      </c>
      <c r="K16" s="34">
        <f t="shared" si="5"/>
        <v>1909.44</v>
      </c>
      <c r="L16" s="34">
        <f t="shared" si="5"/>
        <v>1909.44</v>
      </c>
      <c r="M16" s="34">
        <f t="shared" si="5"/>
        <v>1909.44</v>
      </c>
      <c r="N16" s="34">
        <f t="shared" si="5"/>
        <v>1909.44</v>
      </c>
      <c r="O16" s="34"/>
      <c r="P16" s="34"/>
    </row>
    <row r="17" spans="2:16" x14ac:dyDescent="0.25">
      <c r="B17" s="59" t="s">
        <v>81</v>
      </c>
      <c r="C17" s="59">
        <f>C16+'Bilan et CDR N'!K14</f>
        <v>25409.439999999999</v>
      </c>
      <c r="D17" s="59">
        <f t="shared" ref="D17:N17" si="6">D16</f>
        <v>1909.44</v>
      </c>
      <c r="E17" s="59">
        <f t="shared" si="6"/>
        <v>1909.44</v>
      </c>
      <c r="F17" s="59">
        <f t="shared" si="6"/>
        <v>1909.44</v>
      </c>
      <c r="G17" s="59">
        <f t="shared" si="6"/>
        <v>1909.44</v>
      </c>
      <c r="H17" s="59">
        <f t="shared" si="6"/>
        <v>1909.44</v>
      </c>
      <c r="I17" s="59">
        <f t="shared" si="6"/>
        <v>1909.44</v>
      </c>
      <c r="J17" s="59">
        <f t="shared" si="6"/>
        <v>1909.44</v>
      </c>
      <c r="K17" s="59">
        <f t="shared" si="6"/>
        <v>1909.44</v>
      </c>
      <c r="L17" s="59">
        <f t="shared" si="6"/>
        <v>1909.44</v>
      </c>
      <c r="M17" s="59">
        <f t="shared" si="6"/>
        <v>1909.44</v>
      </c>
      <c r="N17" s="59">
        <f t="shared" si="6"/>
        <v>1909.44</v>
      </c>
      <c r="O17" s="60" t="s">
        <v>82</v>
      </c>
      <c r="P17" s="61">
        <v>0</v>
      </c>
    </row>
    <row r="20" spans="2:16" x14ac:dyDescent="0.25">
      <c r="B20" s="288" t="s">
        <v>83</v>
      </c>
      <c r="C20" s="288"/>
      <c r="D20" s="288"/>
      <c r="E20" s="288"/>
      <c r="F20" s="288"/>
      <c r="G20" s="288"/>
      <c r="H20" s="288"/>
      <c r="I20" s="288"/>
      <c r="J20" s="288"/>
      <c r="K20" s="288"/>
      <c r="L20" s="288"/>
      <c r="M20" s="288"/>
      <c r="N20" s="288"/>
      <c r="O20" s="288"/>
      <c r="P20" s="288"/>
    </row>
    <row r="21" spans="2:16" x14ac:dyDescent="0.25">
      <c r="B21" s="213"/>
      <c r="C21" s="215" t="s">
        <v>50</v>
      </c>
      <c r="D21" s="215" t="s">
        <v>51</v>
      </c>
      <c r="E21" s="215" t="s">
        <v>52</v>
      </c>
      <c r="F21" s="215" t="s">
        <v>53</v>
      </c>
      <c r="G21" s="215" t="s">
        <v>54</v>
      </c>
      <c r="H21" s="215" t="s">
        <v>55</v>
      </c>
      <c r="I21" s="215" t="s">
        <v>56</v>
      </c>
      <c r="J21" s="215" t="s">
        <v>57</v>
      </c>
      <c r="K21" s="215" t="s">
        <v>58</v>
      </c>
      <c r="L21" s="215" t="s">
        <v>59</v>
      </c>
      <c r="M21" s="215" t="s">
        <v>60</v>
      </c>
      <c r="N21" s="215" t="s">
        <v>61</v>
      </c>
      <c r="O21" s="220" t="s">
        <v>62</v>
      </c>
      <c r="P21" s="221"/>
    </row>
    <row r="22" spans="2:16" x14ac:dyDescent="0.25">
      <c r="B22" s="214"/>
      <c r="C22" s="216"/>
      <c r="D22" s="216"/>
      <c r="E22" s="216"/>
      <c r="F22" s="216"/>
      <c r="G22" s="216"/>
      <c r="H22" s="216"/>
      <c r="I22" s="216"/>
      <c r="J22" s="216"/>
      <c r="K22" s="216"/>
      <c r="L22" s="216"/>
      <c r="M22" s="216"/>
      <c r="N22" s="216"/>
      <c r="O22" s="58" t="s">
        <v>64</v>
      </c>
      <c r="P22" s="58" t="s">
        <v>65</v>
      </c>
    </row>
    <row r="23" spans="2:16" x14ac:dyDescent="0.25">
      <c r="B23" s="35" t="s">
        <v>84</v>
      </c>
      <c r="C23" s="35">
        <v>7100</v>
      </c>
      <c r="D23" s="35">
        <v>7100</v>
      </c>
      <c r="E23" s="35">
        <v>7100</v>
      </c>
      <c r="F23" s="35">
        <v>7100</v>
      </c>
      <c r="G23" s="35">
        <v>7100</v>
      </c>
      <c r="H23" s="35">
        <v>7100</v>
      </c>
      <c r="I23" s="35">
        <v>7100</v>
      </c>
      <c r="J23" s="35">
        <v>7100</v>
      </c>
      <c r="K23" s="35">
        <v>7100</v>
      </c>
      <c r="L23" s="35">
        <v>7100</v>
      </c>
      <c r="M23" s="35">
        <v>7100</v>
      </c>
      <c r="N23" s="35">
        <v>7100</v>
      </c>
      <c r="O23" s="60" t="s">
        <v>85</v>
      </c>
      <c r="P23" s="61">
        <f>SUM(C23:N23)</f>
        <v>85200</v>
      </c>
    </row>
    <row r="24" spans="2:16" x14ac:dyDescent="0.25">
      <c r="B24" s="34" t="s">
        <v>86</v>
      </c>
      <c r="C24" s="34">
        <f t="shared" ref="C24:N24" si="7">C23*20%</f>
        <v>1420</v>
      </c>
      <c r="D24" s="34">
        <f t="shared" si="7"/>
        <v>1420</v>
      </c>
      <c r="E24" s="34">
        <f t="shared" si="7"/>
        <v>1420</v>
      </c>
      <c r="F24" s="34">
        <f t="shared" si="7"/>
        <v>1420</v>
      </c>
      <c r="G24" s="34">
        <f t="shared" si="7"/>
        <v>1420</v>
      </c>
      <c r="H24" s="34">
        <f t="shared" si="7"/>
        <v>1420</v>
      </c>
      <c r="I24" s="34">
        <f t="shared" si="7"/>
        <v>1420</v>
      </c>
      <c r="J24" s="34">
        <f t="shared" si="7"/>
        <v>1420</v>
      </c>
      <c r="K24" s="34">
        <f t="shared" si="7"/>
        <v>1420</v>
      </c>
      <c r="L24" s="34">
        <f t="shared" si="7"/>
        <v>1420</v>
      </c>
      <c r="M24" s="34">
        <f t="shared" si="7"/>
        <v>1420</v>
      </c>
      <c r="N24" s="34">
        <f t="shared" si="7"/>
        <v>1420</v>
      </c>
      <c r="O24" s="34"/>
      <c r="P24" s="34"/>
    </row>
    <row r="25" spans="2:16" x14ac:dyDescent="0.25">
      <c r="B25" s="34" t="s">
        <v>234</v>
      </c>
      <c r="C25" s="34">
        <f>$P$25/12</f>
        <v>308.03571428571428</v>
      </c>
      <c r="D25" s="34">
        <f t="shared" ref="D25:N25" si="8">$P$25/12</f>
        <v>308.03571428571428</v>
      </c>
      <c r="E25" s="34">
        <f t="shared" si="8"/>
        <v>308.03571428571428</v>
      </c>
      <c r="F25" s="34">
        <f t="shared" si="8"/>
        <v>308.03571428571428</v>
      </c>
      <c r="G25" s="34">
        <f t="shared" si="8"/>
        <v>308.03571428571428</v>
      </c>
      <c r="H25" s="34">
        <f t="shared" si="8"/>
        <v>308.03571428571428</v>
      </c>
      <c r="I25" s="34">
        <f t="shared" si="8"/>
        <v>308.03571428571428</v>
      </c>
      <c r="J25" s="34">
        <f t="shared" si="8"/>
        <v>308.03571428571428</v>
      </c>
      <c r="K25" s="34">
        <f t="shared" si="8"/>
        <v>308.03571428571428</v>
      </c>
      <c r="L25" s="34">
        <f t="shared" si="8"/>
        <v>308.03571428571428</v>
      </c>
      <c r="M25" s="34">
        <f t="shared" si="8"/>
        <v>308.03571428571428</v>
      </c>
      <c r="N25" s="34">
        <f t="shared" si="8"/>
        <v>308.03571428571428</v>
      </c>
      <c r="O25" s="61" t="s">
        <v>224</v>
      </c>
      <c r="P25" s="61">
        <f>Emprunt!S4</f>
        <v>3696.4285714285711</v>
      </c>
    </row>
    <row r="26" spans="2:16" x14ac:dyDescent="0.25">
      <c r="B26" s="34" t="s">
        <v>232</v>
      </c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</row>
    <row r="27" spans="2:16" x14ac:dyDescent="0.25">
      <c r="B27" s="34" t="s">
        <v>87</v>
      </c>
      <c r="C27" s="34">
        <f>SUM(C23:C26)</f>
        <v>8828.0357142857138</v>
      </c>
      <c r="D27" s="34">
        <f t="shared" ref="D27:N27" si="9">SUM(D23:D26)</f>
        <v>8828.0357142857138</v>
      </c>
      <c r="E27" s="34">
        <f t="shared" si="9"/>
        <v>8828.0357142857138</v>
      </c>
      <c r="F27" s="34">
        <f t="shared" si="9"/>
        <v>8828.0357142857138</v>
      </c>
      <c r="G27" s="34">
        <f t="shared" si="9"/>
        <v>8828.0357142857138</v>
      </c>
      <c r="H27" s="34">
        <f t="shared" si="9"/>
        <v>8828.0357142857138</v>
      </c>
      <c r="I27" s="34">
        <f t="shared" si="9"/>
        <v>8828.0357142857138</v>
      </c>
      <c r="J27" s="34">
        <f t="shared" si="9"/>
        <v>8828.0357142857138</v>
      </c>
      <c r="K27" s="34">
        <f t="shared" si="9"/>
        <v>8828.0357142857138</v>
      </c>
      <c r="L27" s="34">
        <f t="shared" si="9"/>
        <v>8828.0357142857138</v>
      </c>
      <c r="M27" s="34">
        <f t="shared" si="9"/>
        <v>8828.0357142857138</v>
      </c>
      <c r="N27" s="34">
        <f t="shared" si="9"/>
        <v>8828.0357142857138</v>
      </c>
      <c r="O27" s="34"/>
      <c r="P27" s="34"/>
    </row>
    <row r="28" spans="2:16" x14ac:dyDescent="0.25">
      <c r="B28" s="59" t="s">
        <v>81</v>
      </c>
      <c r="C28" s="59">
        <f>C27</f>
        <v>8828.0357142857138</v>
      </c>
      <c r="D28" s="59">
        <f t="shared" ref="D28:N28" si="10">D27</f>
        <v>8828.0357142857138</v>
      </c>
      <c r="E28" s="59">
        <f t="shared" si="10"/>
        <v>8828.0357142857138</v>
      </c>
      <c r="F28" s="59">
        <f t="shared" si="10"/>
        <v>8828.0357142857138</v>
      </c>
      <c r="G28" s="59">
        <f t="shared" si="10"/>
        <v>8828.0357142857138</v>
      </c>
      <c r="H28" s="59">
        <f t="shared" si="10"/>
        <v>8828.0357142857138</v>
      </c>
      <c r="I28" s="59">
        <f t="shared" si="10"/>
        <v>8828.0357142857138</v>
      </c>
      <c r="J28" s="59">
        <f t="shared" si="10"/>
        <v>8828.0357142857138</v>
      </c>
      <c r="K28" s="59">
        <f t="shared" si="10"/>
        <v>8828.0357142857138</v>
      </c>
      <c r="L28" s="59">
        <f t="shared" si="10"/>
        <v>8828.0357142857138</v>
      </c>
      <c r="M28" s="59">
        <f t="shared" si="10"/>
        <v>8828.0357142857138</v>
      </c>
      <c r="N28" s="59">
        <f t="shared" si="10"/>
        <v>8828.0357142857138</v>
      </c>
      <c r="O28" s="34"/>
      <c r="P28" s="34"/>
    </row>
    <row r="29" spans="2:16" x14ac:dyDescent="0.25">
      <c r="B29" s="34" t="s">
        <v>89</v>
      </c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>
        <v>7500</v>
      </c>
      <c r="O29" s="34"/>
      <c r="P29" s="34"/>
    </row>
    <row r="30" spans="2:16" x14ac:dyDescent="0.25">
      <c r="B30" s="59" t="s">
        <v>94</v>
      </c>
      <c r="C30" s="59">
        <f t="shared" ref="C30:N30" si="11">C29</f>
        <v>0</v>
      </c>
      <c r="D30" s="59">
        <f t="shared" si="11"/>
        <v>0</v>
      </c>
      <c r="E30" s="59">
        <f t="shared" si="11"/>
        <v>0</v>
      </c>
      <c r="F30" s="59">
        <f t="shared" si="11"/>
        <v>0</v>
      </c>
      <c r="G30" s="59">
        <f t="shared" si="11"/>
        <v>0</v>
      </c>
      <c r="H30" s="59">
        <f t="shared" si="11"/>
        <v>0</v>
      </c>
      <c r="I30" s="59">
        <f t="shared" si="11"/>
        <v>0</v>
      </c>
      <c r="J30" s="59">
        <f t="shared" si="11"/>
        <v>0</v>
      </c>
      <c r="K30" s="59">
        <f t="shared" si="11"/>
        <v>0</v>
      </c>
      <c r="L30" s="59">
        <f t="shared" si="11"/>
        <v>0</v>
      </c>
      <c r="M30" s="59">
        <f t="shared" si="11"/>
        <v>0</v>
      </c>
      <c r="N30" s="59">
        <f t="shared" si="11"/>
        <v>7500</v>
      </c>
      <c r="O30" s="60" t="s">
        <v>93</v>
      </c>
      <c r="P30" s="61">
        <f>SUM(C30:N30)</f>
        <v>7500</v>
      </c>
    </row>
    <row r="31" spans="2:16" x14ac:dyDescent="0.25">
      <c r="B31" s="34" t="s">
        <v>95</v>
      </c>
      <c r="C31" s="34">
        <f t="shared" ref="C31:N31" si="12">307500/12</f>
        <v>25625</v>
      </c>
      <c r="D31" s="34">
        <f t="shared" si="12"/>
        <v>25625</v>
      </c>
      <c r="E31" s="34">
        <f t="shared" si="12"/>
        <v>25625</v>
      </c>
      <c r="F31" s="34">
        <f t="shared" si="12"/>
        <v>25625</v>
      </c>
      <c r="G31" s="34">
        <f t="shared" si="12"/>
        <v>25625</v>
      </c>
      <c r="H31" s="34">
        <f t="shared" si="12"/>
        <v>25625</v>
      </c>
      <c r="I31" s="34">
        <f t="shared" si="12"/>
        <v>25625</v>
      </c>
      <c r="J31" s="34">
        <f t="shared" si="12"/>
        <v>25625</v>
      </c>
      <c r="K31" s="34">
        <f t="shared" si="12"/>
        <v>25625</v>
      </c>
      <c r="L31" s="34">
        <f t="shared" si="12"/>
        <v>25625</v>
      </c>
      <c r="M31" s="34">
        <f t="shared" si="12"/>
        <v>25625</v>
      </c>
      <c r="N31" s="34">
        <f t="shared" si="12"/>
        <v>25625</v>
      </c>
      <c r="O31" s="37"/>
      <c r="P31" s="37"/>
    </row>
    <row r="32" spans="2:16" x14ac:dyDescent="0.25">
      <c r="B32" s="59" t="s">
        <v>96</v>
      </c>
      <c r="C32" s="59">
        <f t="shared" ref="C32:N32" si="13">C31</f>
        <v>25625</v>
      </c>
      <c r="D32" s="59">
        <f t="shared" si="13"/>
        <v>25625</v>
      </c>
      <c r="E32" s="59">
        <f t="shared" si="13"/>
        <v>25625</v>
      </c>
      <c r="F32" s="59">
        <f t="shared" si="13"/>
        <v>25625</v>
      </c>
      <c r="G32" s="59">
        <f t="shared" si="13"/>
        <v>25625</v>
      </c>
      <c r="H32" s="59">
        <f t="shared" si="13"/>
        <v>25625</v>
      </c>
      <c r="I32" s="59">
        <f t="shared" si="13"/>
        <v>25625</v>
      </c>
      <c r="J32" s="59">
        <f t="shared" si="13"/>
        <v>25625</v>
      </c>
      <c r="K32" s="59">
        <f t="shared" si="13"/>
        <v>25625</v>
      </c>
      <c r="L32" s="59">
        <f t="shared" si="13"/>
        <v>25625</v>
      </c>
      <c r="M32" s="59">
        <f t="shared" si="13"/>
        <v>25625</v>
      </c>
      <c r="N32" s="59">
        <f t="shared" si="13"/>
        <v>25625</v>
      </c>
      <c r="O32" s="60" t="s">
        <v>97</v>
      </c>
      <c r="P32" s="61">
        <f>SUM(C32:N32)</f>
        <v>307500</v>
      </c>
    </row>
    <row r="33" spans="2:31" x14ac:dyDescent="0.25">
      <c r="B33" s="34" t="s">
        <v>21</v>
      </c>
      <c r="C33" s="34">
        <f t="shared" ref="C33:N33" si="14">C31*0.4</f>
        <v>10250</v>
      </c>
      <c r="D33" s="34">
        <f t="shared" si="14"/>
        <v>10250</v>
      </c>
      <c r="E33" s="34">
        <f t="shared" si="14"/>
        <v>10250</v>
      </c>
      <c r="F33" s="34">
        <f t="shared" si="14"/>
        <v>10250</v>
      </c>
      <c r="G33" s="34">
        <f t="shared" si="14"/>
        <v>10250</v>
      </c>
      <c r="H33" s="34">
        <f t="shared" si="14"/>
        <v>10250</v>
      </c>
      <c r="I33" s="34">
        <f t="shared" si="14"/>
        <v>10250</v>
      </c>
      <c r="J33" s="34">
        <f t="shared" si="14"/>
        <v>10250</v>
      </c>
      <c r="K33" s="34">
        <f t="shared" si="14"/>
        <v>10250</v>
      </c>
      <c r="L33" s="34">
        <f t="shared" si="14"/>
        <v>10250</v>
      </c>
      <c r="M33" s="34">
        <f t="shared" si="14"/>
        <v>10250</v>
      </c>
      <c r="N33" s="34">
        <f t="shared" si="14"/>
        <v>10250</v>
      </c>
      <c r="O33" s="60" t="s">
        <v>98</v>
      </c>
      <c r="P33" s="61">
        <f>SUM(C33:N33)</f>
        <v>123000</v>
      </c>
    </row>
    <row r="34" spans="2:31" x14ac:dyDescent="0.25">
      <c r="B34" s="59" t="s">
        <v>99</v>
      </c>
      <c r="C34" s="59">
        <v>16000</v>
      </c>
      <c r="D34" s="59">
        <f t="shared" ref="D34:N34" si="15">C33</f>
        <v>10250</v>
      </c>
      <c r="E34" s="59">
        <f t="shared" si="15"/>
        <v>10250</v>
      </c>
      <c r="F34" s="59">
        <f t="shared" si="15"/>
        <v>10250</v>
      </c>
      <c r="G34" s="59">
        <f t="shared" si="15"/>
        <v>10250</v>
      </c>
      <c r="H34" s="59">
        <f t="shared" si="15"/>
        <v>10250</v>
      </c>
      <c r="I34" s="59">
        <f t="shared" si="15"/>
        <v>10250</v>
      </c>
      <c r="J34" s="59">
        <f t="shared" si="15"/>
        <v>10250</v>
      </c>
      <c r="K34" s="59">
        <f t="shared" si="15"/>
        <v>10250</v>
      </c>
      <c r="L34" s="59">
        <f t="shared" si="15"/>
        <v>10250</v>
      </c>
      <c r="M34" s="59">
        <f t="shared" si="15"/>
        <v>10250</v>
      </c>
      <c r="N34" s="59">
        <f t="shared" si="15"/>
        <v>10250</v>
      </c>
      <c r="O34" s="60" t="s">
        <v>100</v>
      </c>
      <c r="P34" s="61">
        <f>N33</f>
        <v>10250</v>
      </c>
    </row>
    <row r="37" spans="2:31" x14ac:dyDescent="0.25">
      <c r="B37" s="288" t="s">
        <v>101</v>
      </c>
      <c r="C37" s="288"/>
      <c r="D37" s="288"/>
      <c r="E37" s="288"/>
      <c r="F37" s="288"/>
      <c r="G37" s="288"/>
      <c r="H37" s="288"/>
      <c r="I37" s="288"/>
      <c r="J37" s="288"/>
      <c r="K37" s="288"/>
      <c r="L37" s="288"/>
      <c r="M37" s="288"/>
      <c r="N37" s="288"/>
      <c r="O37" s="288"/>
      <c r="P37" s="288"/>
    </row>
    <row r="38" spans="2:31" x14ac:dyDescent="0.25">
      <c r="B38" s="213"/>
      <c r="C38" s="215" t="s">
        <v>50</v>
      </c>
      <c r="D38" s="215" t="s">
        <v>51</v>
      </c>
      <c r="E38" s="215" t="s">
        <v>52</v>
      </c>
      <c r="F38" s="215" t="s">
        <v>53</v>
      </c>
      <c r="G38" s="215" t="s">
        <v>54</v>
      </c>
      <c r="H38" s="215" t="s">
        <v>55</v>
      </c>
      <c r="I38" s="215" t="s">
        <v>56</v>
      </c>
      <c r="J38" s="215" t="s">
        <v>57</v>
      </c>
      <c r="K38" s="215" t="s">
        <v>58</v>
      </c>
      <c r="L38" s="215" t="s">
        <v>59</v>
      </c>
      <c r="M38" s="215" t="s">
        <v>60</v>
      </c>
      <c r="N38" s="215" t="s">
        <v>61</v>
      </c>
      <c r="O38" s="220" t="s">
        <v>62</v>
      </c>
      <c r="P38" s="221"/>
    </row>
    <row r="39" spans="2:31" x14ac:dyDescent="0.25">
      <c r="B39" s="214"/>
      <c r="C39" s="216"/>
      <c r="D39" s="216"/>
      <c r="E39" s="216"/>
      <c r="F39" s="216"/>
      <c r="G39" s="216"/>
      <c r="H39" s="216"/>
      <c r="I39" s="216"/>
      <c r="J39" s="216"/>
      <c r="K39" s="216"/>
      <c r="L39" s="216"/>
      <c r="M39" s="216"/>
      <c r="N39" s="216"/>
      <c r="O39" s="58" t="s">
        <v>64</v>
      </c>
      <c r="P39" s="58" t="s">
        <v>65</v>
      </c>
    </row>
    <row r="40" spans="2:31" x14ac:dyDescent="0.25">
      <c r="B40" s="46" t="s">
        <v>102</v>
      </c>
      <c r="C40" s="35"/>
      <c r="D40" s="35"/>
      <c r="E40" s="35"/>
      <c r="F40" s="35"/>
      <c r="G40" s="35"/>
      <c r="H40" s="35"/>
      <c r="I40" s="35"/>
      <c r="J40" s="35"/>
      <c r="K40" s="35"/>
      <c r="L40" s="35">
        <v>8200</v>
      </c>
      <c r="M40" s="35"/>
      <c r="N40" s="35"/>
      <c r="O40" s="60" t="s">
        <v>103</v>
      </c>
      <c r="P40" s="61">
        <f>SUM(C40:N40)</f>
        <v>8200</v>
      </c>
    </row>
    <row r="41" spans="2:31" x14ac:dyDescent="0.25">
      <c r="B41" s="34" t="s">
        <v>105</v>
      </c>
      <c r="C41" s="34"/>
      <c r="D41" s="34"/>
      <c r="E41" s="34"/>
      <c r="F41" s="34"/>
      <c r="G41" s="34"/>
      <c r="H41" s="34"/>
      <c r="I41" s="34"/>
      <c r="J41" s="34"/>
      <c r="K41" s="34"/>
      <c r="L41" s="34">
        <v>8200</v>
      </c>
      <c r="M41" s="34"/>
      <c r="N41" s="34"/>
      <c r="O41" s="34"/>
      <c r="P41" s="34"/>
    </row>
    <row r="42" spans="2:31" x14ac:dyDescent="0.25">
      <c r="B42" s="34" t="s">
        <v>106</v>
      </c>
      <c r="C42" s="34">
        <f t="shared" ref="C42:N42" si="16">$P$42/12</f>
        <v>350</v>
      </c>
      <c r="D42" s="34">
        <f t="shared" si="16"/>
        <v>350</v>
      </c>
      <c r="E42" s="34">
        <f t="shared" si="16"/>
        <v>350</v>
      </c>
      <c r="F42" s="34">
        <f t="shared" si="16"/>
        <v>350</v>
      </c>
      <c r="G42" s="34">
        <f t="shared" si="16"/>
        <v>350</v>
      </c>
      <c r="H42" s="34">
        <f t="shared" si="16"/>
        <v>350</v>
      </c>
      <c r="I42" s="34">
        <f t="shared" si="16"/>
        <v>350</v>
      </c>
      <c r="J42" s="34">
        <f t="shared" si="16"/>
        <v>350</v>
      </c>
      <c r="K42" s="34">
        <f t="shared" si="16"/>
        <v>350</v>
      </c>
      <c r="L42" s="34">
        <f t="shared" si="16"/>
        <v>350</v>
      </c>
      <c r="M42" s="34">
        <f t="shared" si="16"/>
        <v>350</v>
      </c>
      <c r="N42" s="34">
        <f t="shared" si="16"/>
        <v>350</v>
      </c>
      <c r="O42" s="60" t="s">
        <v>107</v>
      </c>
      <c r="P42" s="61">
        <f>Informations!D13</f>
        <v>4200</v>
      </c>
    </row>
    <row r="43" spans="2:31" x14ac:dyDescent="0.25">
      <c r="B43" s="34" t="s">
        <v>108</v>
      </c>
      <c r="C43" s="34">
        <f>Informations!$E13/12</f>
        <v>3333.3333333333335</v>
      </c>
      <c r="D43" s="34">
        <f>Informations!$E13/12</f>
        <v>3333.3333333333335</v>
      </c>
      <c r="E43" s="34">
        <f>Informations!$E13/12</f>
        <v>3333.3333333333335</v>
      </c>
      <c r="F43" s="34">
        <f>Informations!$E13/12</f>
        <v>3333.3333333333335</v>
      </c>
      <c r="G43" s="34">
        <f>Informations!$E13/12</f>
        <v>3333.3333333333335</v>
      </c>
      <c r="H43" s="34">
        <f>Informations!$E13/12</f>
        <v>3333.3333333333335</v>
      </c>
      <c r="I43" s="34">
        <f>Informations!$E13/12</f>
        <v>3333.3333333333335</v>
      </c>
      <c r="J43" s="34">
        <f>Informations!$E13/12</f>
        <v>3333.3333333333335</v>
      </c>
      <c r="K43" s="34">
        <f>Informations!$E13/12</f>
        <v>3333.3333333333335</v>
      </c>
      <c r="L43" s="34">
        <f>Informations!$E13/12</f>
        <v>3333.3333333333335</v>
      </c>
      <c r="M43" s="34">
        <f>Informations!$E13/12</f>
        <v>3333.3333333333335</v>
      </c>
      <c r="N43" s="34">
        <f>Informations!$E13/12</f>
        <v>3333.3333333333335</v>
      </c>
      <c r="O43" s="60" t="s">
        <v>109</v>
      </c>
      <c r="P43" s="61">
        <f>Informations!E13</f>
        <v>40000</v>
      </c>
    </row>
    <row r="44" spans="2:31" x14ac:dyDescent="0.25">
      <c r="B44" s="34" t="s">
        <v>217</v>
      </c>
      <c r="C44" s="34">
        <f>Informations!$I31</f>
        <v>0</v>
      </c>
      <c r="D44" s="34">
        <f>Informations!$I31</f>
        <v>0</v>
      </c>
      <c r="E44" s="34">
        <f>Informations!$I31</f>
        <v>0</v>
      </c>
      <c r="F44" s="34">
        <f>Informations!$I31</f>
        <v>0</v>
      </c>
      <c r="G44" s="34">
        <f>Informations!$I31</f>
        <v>0</v>
      </c>
      <c r="H44" s="34">
        <f>Informations!$I31</f>
        <v>0</v>
      </c>
      <c r="I44" s="34">
        <f>Informations!$I31</f>
        <v>0</v>
      </c>
      <c r="J44" s="34">
        <f>Informations!$I31</f>
        <v>0</v>
      </c>
      <c r="K44" s="34">
        <f>Informations!$I31</f>
        <v>0</v>
      </c>
      <c r="L44" s="34">
        <f>Informations!$I31</f>
        <v>0</v>
      </c>
      <c r="M44" s="34">
        <f>Informations!$I31</f>
        <v>0</v>
      </c>
      <c r="N44" s="34">
        <f>Informations!$I31</f>
        <v>0</v>
      </c>
      <c r="O44" s="60" t="s">
        <v>226</v>
      </c>
      <c r="P44" s="61">
        <f>SUM(C44:N44)</f>
        <v>0</v>
      </c>
    </row>
    <row r="45" spans="2:31" x14ac:dyDescent="0.25">
      <c r="B45" s="59" t="s">
        <v>71</v>
      </c>
      <c r="C45" s="59">
        <f>C42+C43+C44</f>
        <v>3683.3333333333335</v>
      </c>
      <c r="D45" s="59">
        <f t="shared" ref="D45:N45" si="17">D42+D43+D44</f>
        <v>3683.3333333333335</v>
      </c>
      <c r="E45" s="59">
        <f t="shared" si="17"/>
        <v>3683.3333333333335</v>
      </c>
      <c r="F45" s="59">
        <f t="shared" si="17"/>
        <v>3683.3333333333335</v>
      </c>
      <c r="G45" s="59">
        <f t="shared" si="17"/>
        <v>3683.3333333333335</v>
      </c>
      <c r="H45" s="59">
        <f t="shared" si="17"/>
        <v>3683.3333333333335</v>
      </c>
      <c r="I45" s="59">
        <f t="shared" si="17"/>
        <v>3683.3333333333335</v>
      </c>
      <c r="J45" s="59">
        <f t="shared" si="17"/>
        <v>3683.3333333333335</v>
      </c>
      <c r="K45" s="59">
        <f t="shared" si="17"/>
        <v>3683.3333333333335</v>
      </c>
      <c r="L45" s="59">
        <f t="shared" si="17"/>
        <v>3683.3333333333335</v>
      </c>
      <c r="M45" s="59">
        <f t="shared" si="17"/>
        <v>3683.3333333333335</v>
      </c>
      <c r="N45" s="59">
        <f t="shared" si="17"/>
        <v>3683.3333333333335</v>
      </c>
      <c r="O45" s="38"/>
      <c r="P45" s="38"/>
    </row>
    <row r="48" spans="2:31" x14ac:dyDescent="0.25">
      <c r="B48" s="288" t="s">
        <v>110</v>
      </c>
      <c r="C48" s="288"/>
      <c r="D48" s="288"/>
      <c r="E48" s="288"/>
      <c r="F48" s="288"/>
      <c r="G48" s="288"/>
      <c r="H48" s="288"/>
      <c r="I48" s="288"/>
      <c r="J48" s="288"/>
      <c r="K48" s="288"/>
      <c r="L48" s="288"/>
      <c r="M48" s="288"/>
      <c r="N48" s="288"/>
      <c r="O48" s="288"/>
      <c r="P48" s="288"/>
      <c r="S48" s="283" t="s">
        <v>203</v>
      </c>
      <c r="T48" s="283" t="s">
        <v>50</v>
      </c>
      <c r="U48" s="283" t="s">
        <v>51</v>
      </c>
      <c r="V48" s="283" t="s">
        <v>52</v>
      </c>
      <c r="W48" s="283" t="s">
        <v>53</v>
      </c>
      <c r="X48" s="283" t="s">
        <v>54</v>
      </c>
      <c r="Y48" s="283" t="s">
        <v>55</v>
      </c>
      <c r="Z48" s="283" t="s">
        <v>56</v>
      </c>
      <c r="AA48" s="283" t="s">
        <v>57</v>
      </c>
      <c r="AB48" s="283" t="s">
        <v>58</v>
      </c>
      <c r="AC48" s="283" t="s">
        <v>59</v>
      </c>
      <c r="AD48" s="283" t="s">
        <v>60</v>
      </c>
      <c r="AE48" s="283" t="s">
        <v>61</v>
      </c>
    </row>
    <row r="49" spans="2:31" x14ac:dyDescent="0.25">
      <c r="B49" s="213"/>
      <c r="C49" s="215" t="s">
        <v>50</v>
      </c>
      <c r="D49" s="215" t="s">
        <v>51</v>
      </c>
      <c r="E49" s="215" t="s">
        <v>52</v>
      </c>
      <c r="F49" s="215" t="s">
        <v>53</v>
      </c>
      <c r="G49" s="215" t="s">
        <v>54</v>
      </c>
      <c r="H49" s="215" t="s">
        <v>55</v>
      </c>
      <c r="I49" s="215" t="s">
        <v>56</v>
      </c>
      <c r="J49" s="215" t="s">
        <v>57</v>
      </c>
      <c r="K49" s="215" t="s">
        <v>58</v>
      </c>
      <c r="L49" s="215" t="s">
        <v>59</v>
      </c>
      <c r="M49" s="215" t="s">
        <v>60</v>
      </c>
      <c r="N49" s="215" t="s">
        <v>61</v>
      </c>
      <c r="O49" s="220" t="s">
        <v>62</v>
      </c>
      <c r="P49" s="221"/>
      <c r="S49" s="283"/>
      <c r="T49" s="283"/>
      <c r="U49" s="283"/>
      <c r="V49" s="283"/>
      <c r="W49" s="283"/>
      <c r="X49" s="283"/>
      <c r="Y49" s="283"/>
      <c r="Z49" s="283"/>
      <c r="AA49" s="283"/>
      <c r="AB49" s="283"/>
      <c r="AC49" s="283"/>
      <c r="AD49" s="283"/>
      <c r="AE49" s="283"/>
    </row>
    <row r="50" spans="2:31" x14ac:dyDescent="0.25">
      <c r="B50" s="214"/>
      <c r="C50" s="216"/>
      <c r="D50" s="216"/>
      <c r="E50" s="216"/>
      <c r="F50" s="216"/>
      <c r="G50" s="216"/>
      <c r="H50" s="216"/>
      <c r="I50" s="216"/>
      <c r="J50" s="216"/>
      <c r="K50" s="216"/>
      <c r="L50" s="216"/>
      <c r="M50" s="216"/>
      <c r="N50" s="216"/>
      <c r="O50" s="58" t="s">
        <v>64</v>
      </c>
      <c r="P50" s="58" t="s">
        <v>65</v>
      </c>
      <c r="S50" s="59" t="s">
        <v>204</v>
      </c>
      <c r="T50" s="59">
        <f t="shared" ref="T50:AE50" si="18">C74</f>
        <v>78000</v>
      </c>
      <c r="U50" s="59">
        <f t="shared" si="18"/>
        <v>6364.8</v>
      </c>
      <c r="V50" s="59">
        <f t="shared" si="18"/>
        <v>36364.800000000003</v>
      </c>
      <c r="W50" s="59">
        <f t="shared" si="18"/>
        <v>6364.8</v>
      </c>
      <c r="X50" s="59">
        <f t="shared" si="18"/>
        <v>6364.8</v>
      </c>
      <c r="Y50" s="59">
        <f t="shared" si="18"/>
        <v>7864.8</v>
      </c>
      <c r="Z50" s="59">
        <f t="shared" si="18"/>
        <v>6364.8</v>
      </c>
      <c r="AA50" s="59">
        <f t="shared" si="18"/>
        <v>6364.8</v>
      </c>
      <c r="AB50" s="59">
        <f t="shared" si="18"/>
        <v>6364.8</v>
      </c>
      <c r="AC50" s="59">
        <f t="shared" si="18"/>
        <v>6364.8</v>
      </c>
      <c r="AD50" s="59">
        <f t="shared" si="18"/>
        <v>6364.8</v>
      </c>
      <c r="AE50" s="59">
        <f t="shared" si="18"/>
        <v>6364.8</v>
      </c>
    </row>
    <row r="51" spans="2:31" x14ac:dyDescent="0.25">
      <c r="B51" s="35" t="s">
        <v>111</v>
      </c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60" t="s">
        <v>112</v>
      </c>
      <c r="P51" s="61">
        <f>SUM(C51:N51)</f>
        <v>0</v>
      </c>
      <c r="S51" s="34" t="s">
        <v>205</v>
      </c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</row>
    <row r="52" spans="2:31" x14ac:dyDescent="0.25">
      <c r="B52" s="34" t="s">
        <v>113</v>
      </c>
      <c r="C52" s="34">
        <f>C51*20%</f>
        <v>0</v>
      </c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S52" s="34" t="s">
        <v>206</v>
      </c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</row>
    <row r="53" spans="2:31" x14ac:dyDescent="0.25">
      <c r="B53" s="34" t="s">
        <v>114</v>
      </c>
      <c r="C53" s="34">
        <f>C51+C52</f>
        <v>0</v>
      </c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S53" s="34" t="s">
        <v>207</v>
      </c>
      <c r="T53" s="34">
        <v>32698</v>
      </c>
      <c r="U53" s="34">
        <v>2893</v>
      </c>
      <c r="V53" s="34"/>
      <c r="W53" s="34"/>
      <c r="X53" s="34"/>
      <c r="Y53" s="34"/>
      <c r="Z53" s="34"/>
      <c r="AA53" s="34"/>
      <c r="AB53" s="34"/>
      <c r="AC53" s="34"/>
      <c r="AD53" s="34"/>
      <c r="AE53" s="34"/>
    </row>
    <row r="54" spans="2:31" x14ac:dyDescent="0.25">
      <c r="B54" s="59" t="s">
        <v>81</v>
      </c>
      <c r="C54" s="59">
        <f>C53</f>
        <v>0</v>
      </c>
      <c r="D54" s="59"/>
      <c r="E54" s="59"/>
      <c r="F54" s="59"/>
      <c r="G54" s="59"/>
      <c r="H54" s="59"/>
      <c r="I54" s="59"/>
      <c r="J54" s="59"/>
      <c r="K54" s="59"/>
      <c r="L54" s="59"/>
      <c r="M54" s="59"/>
      <c r="N54" s="59"/>
      <c r="O54" s="60" t="s">
        <v>220</v>
      </c>
      <c r="P54" s="61">
        <v>0</v>
      </c>
      <c r="S54" s="59" t="s">
        <v>210</v>
      </c>
      <c r="T54" s="59">
        <f>T50+T53</f>
        <v>110698</v>
      </c>
      <c r="U54" s="59">
        <f t="shared" ref="U54:AE54" si="19">SUM(U50:U53)</f>
        <v>9257.7999999999993</v>
      </c>
      <c r="V54" s="59">
        <f t="shared" si="19"/>
        <v>36364.800000000003</v>
      </c>
      <c r="W54" s="59">
        <f t="shared" si="19"/>
        <v>6364.8</v>
      </c>
      <c r="X54" s="59">
        <f t="shared" si="19"/>
        <v>6364.8</v>
      </c>
      <c r="Y54" s="59">
        <f t="shared" si="19"/>
        <v>7864.8</v>
      </c>
      <c r="Z54" s="59">
        <f t="shared" si="19"/>
        <v>6364.8</v>
      </c>
      <c r="AA54" s="59">
        <f t="shared" si="19"/>
        <v>6364.8</v>
      </c>
      <c r="AB54" s="59">
        <f t="shared" si="19"/>
        <v>6364.8</v>
      </c>
      <c r="AC54" s="59">
        <f t="shared" si="19"/>
        <v>6364.8</v>
      </c>
      <c r="AD54" s="59">
        <f t="shared" si="19"/>
        <v>6364.8</v>
      </c>
      <c r="AE54" s="59">
        <f t="shared" si="19"/>
        <v>6364.8</v>
      </c>
    </row>
    <row r="55" spans="2:31" x14ac:dyDescent="0.25">
      <c r="C55" s="20" t="s">
        <v>149</v>
      </c>
      <c r="S55" s="34" t="s">
        <v>211</v>
      </c>
      <c r="T55" s="34">
        <f t="shared" ref="T55:AE55" si="20">C84</f>
        <v>94920.809047619041</v>
      </c>
      <c r="U55" s="34">
        <f t="shared" si="20"/>
        <v>49993.369047619046</v>
      </c>
      <c r="V55" s="34">
        <f t="shared" si="20"/>
        <v>49993.369047619046</v>
      </c>
      <c r="W55" s="34">
        <f t="shared" si="20"/>
        <v>49993.369047619046</v>
      </c>
      <c r="X55" s="34">
        <f t="shared" si="20"/>
        <v>49993.369047619046</v>
      </c>
      <c r="Y55" s="34">
        <f t="shared" si="20"/>
        <v>49993.369047619046</v>
      </c>
      <c r="Z55" s="34">
        <f t="shared" si="20"/>
        <v>49993.369047619046</v>
      </c>
      <c r="AA55" s="34">
        <f t="shared" si="20"/>
        <v>49993.369047619046</v>
      </c>
      <c r="AB55" s="34">
        <f t="shared" si="20"/>
        <v>49993.369047619046</v>
      </c>
      <c r="AC55" s="34">
        <f t="shared" si="20"/>
        <v>58193.369047619046</v>
      </c>
      <c r="AD55" s="34">
        <f t="shared" si="20"/>
        <v>49993.369047619046</v>
      </c>
      <c r="AE55" s="34">
        <f t="shared" si="20"/>
        <v>49993.369047619046</v>
      </c>
    </row>
    <row r="56" spans="2:31" x14ac:dyDescent="0.25">
      <c r="S56" s="34" t="s">
        <v>212</v>
      </c>
      <c r="T56" s="34"/>
      <c r="U56" s="34">
        <f>T53*0.07</f>
        <v>2288.86</v>
      </c>
      <c r="V56" s="34">
        <f t="shared" ref="V56:AE56" si="21">U53*0.07</f>
        <v>202.51000000000002</v>
      </c>
      <c r="W56" s="34">
        <f t="shared" si="21"/>
        <v>0</v>
      </c>
      <c r="X56" s="34">
        <f t="shared" si="21"/>
        <v>0</v>
      </c>
      <c r="Y56" s="34">
        <f t="shared" si="21"/>
        <v>0</v>
      </c>
      <c r="Z56" s="34">
        <f t="shared" si="21"/>
        <v>0</v>
      </c>
      <c r="AA56" s="34">
        <f t="shared" si="21"/>
        <v>0</v>
      </c>
      <c r="AB56" s="34">
        <f t="shared" si="21"/>
        <v>0</v>
      </c>
      <c r="AC56" s="34">
        <f t="shared" si="21"/>
        <v>0</v>
      </c>
      <c r="AD56" s="34">
        <f t="shared" si="21"/>
        <v>0</v>
      </c>
      <c r="AE56" s="34">
        <f t="shared" si="21"/>
        <v>0</v>
      </c>
    </row>
    <row r="57" spans="2:31" x14ac:dyDescent="0.25">
      <c r="B57" s="288" t="s">
        <v>116</v>
      </c>
      <c r="C57" s="288"/>
      <c r="D57" s="288"/>
      <c r="E57" s="288"/>
      <c r="F57" s="288"/>
      <c r="G57" s="288"/>
      <c r="H57" s="288"/>
      <c r="I57" s="288"/>
      <c r="J57" s="288"/>
      <c r="K57" s="288"/>
      <c r="L57" s="288"/>
      <c r="M57" s="288"/>
      <c r="N57" s="288"/>
      <c r="O57" s="288"/>
      <c r="P57" s="288"/>
      <c r="S57" s="59" t="s">
        <v>213</v>
      </c>
      <c r="T57" s="59">
        <f t="shared" ref="T57:AE57" si="22">T55+T56</f>
        <v>94920.809047619041</v>
      </c>
      <c r="U57" s="59">
        <f t="shared" si="22"/>
        <v>52282.229047619046</v>
      </c>
      <c r="V57" s="59">
        <f t="shared" si="22"/>
        <v>50195.879047619048</v>
      </c>
      <c r="W57" s="59">
        <f t="shared" si="22"/>
        <v>49993.369047619046</v>
      </c>
      <c r="X57" s="59">
        <f t="shared" si="22"/>
        <v>49993.369047619046</v>
      </c>
      <c r="Y57" s="59">
        <f t="shared" si="22"/>
        <v>49993.369047619046</v>
      </c>
      <c r="Z57" s="59">
        <f t="shared" si="22"/>
        <v>49993.369047619046</v>
      </c>
      <c r="AA57" s="59">
        <f t="shared" si="22"/>
        <v>49993.369047619046</v>
      </c>
      <c r="AB57" s="59">
        <f t="shared" si="22"/>
        <v>49993.369047619046</v>
      </c>
      <c r="AC57" s="59">
        <f t="shared" si="22"/>
        <v>58193.369047619046</v>
      </c>
      <c r="AD57" s="59">
        <f t="shared" si="22"/>
        <v>49993.369047619046</v>
      </c>
      <c r="AE57" s="59">
        <f t="shared" si="22"/>
        <v>49993.369047619046</v>
      </c>
    </row>
    <row r="58" spans="2:31" x14ac:dyDescent="0.25">
      <c r="B58" s="213"/>
      <c r="C58" s="215" t="s">
        <v>50</v>
      </c>
      <c r="D58" s="215" t="s">
        <v>51</v>
      </c>
      <c r="E58" s="215" t="s">
        <v>52</v>
      </c>
      <c r="F58" s="215" t="s">
        <v>53</v>
      </c>
      <c r="G58" s="215" t="s">
        <v>54</v>
      </c>
      <c r="H58" s="215" t="s">
        <v>55</v>
      </c>
      <c r="I58" s="215" t="s">
        <v>56</v>
      </c>
      <c r="J58" s="215" t="s">
        <v>57</v>
      </c>
      <c r="K58" s="215" t="s">
        <v>58</v>
      </c>
      <c r="L58" s="215" t="s">
        <v>59</v>
      </c>
      <c r="M58" s="215" t="s">
        <v>60</v>
      </c>
      <c r="N58" s="215" t="s">
        <v>61</v>
      </c>
      <c r="O58" s="220" t="s">
        <v>62</v>
      </c>
      <c r="P58" s="221"/>
      <c r="S58" s="34" t="s">
        <v>132</v>
      </c>
      <c r="T58" s="34">
        <f>C85</f>
        <v>6350</v>
      </c>
      <c r="U58" s="34">
        <f t="shared" ref="U58:AE58" si="23">T60</f>
        <v>22127.190952380959</v>
      </c>
      <c r="V58" s="34">
        <f t="shared" si="23"/>
        <v>-20897.238095238092</v>
      </c>
      <c r="W58" s="34">
        <f t="shared" si="23"/>
        <v>-34728.317142857137</v>
      </c>
      <c r="X58" s="34">
        <f t="shared" si="23"/>
        <v>-78356.886190476187</v>
      </c>
      <c r="Y58" s="34">
        <f t="shared" si="23"/>
        <v>-121985.45523809522</v>
      </c>
      <c r="Z58" s="34">
        <f t="shared" si="23"/>
        <v>-164114.02428571426</v>
      </c>
      <c r="AA58" s="34">
        <f t="shared" si="23"/>
        <v>-207742.59333333329</v>
      </c>
      <c r="AB58" s="34">
        <f t="shared" si="23"/>
        <v>-251371.16238095233</v>
      </c>
      <c r="AC58" s="34">
        <f t="shared" si="23"/>
        <v>-294999.73142857139</v>
      </c>
      <c r="AD58" s="34">
        <f t="shared" si="23"/>
        <v>-346828.30047619046</v>
      </c>
      <c r="AE58" s="34">
        <f t="shared" si="23"/>
        <v>-390456.86952380952</v>
      </c>
    </row>
    <row r="59" spans="2:31" x14ac:dyDescent="0.25">
      <c r="B59" s="214"/>
      <c r="C59" s="216"/>
      <c r="D59" s="216"/>
      <c r="E59" s="216"/>
      <c r="F59" s="216"/>
      <c r="G59" s="216"/>
      <c r="H59" s="216"/>
      <c r="I59" s="216"/>
      <c r="J59" s="216"/>
      <c r="K59" s="216"/>
      <c r="L59" s="216"/>
      <c r="M59" s="216"/>
      <c r="N59" s="216"/>
      <c r="O59" s="58" t="s">
        <v>64</v>
      </c>
      <c r="P59" s="58" t="s">
        <v>65</v>
      </c>
      <c r="S59" s="34" t="s">
        <v>133</v>
      </c>
      <c r="T59" s="34">
        <f>T54-T57</f>
        <v>15777.190952380959</v>
      </c>
      <c r="U59" s="34">
        <f t="shared" ref="U59:AE59" si="24">U54-U57</f>
        <v>-43024.429047619051</v>
      </c>
      <c r="V59" s="34">
        <f t="shared" si="24"/>
        <v>-13831.079047619045</v>
      </c>
      <c r="W59" s="34">
        <f t="shared" si="24"/>
        <v>-43628.569047619043</v>
      </c>
      <c r="X59" s="34">
        <f t="shared" si="24"/>
        <v>-43628.569047619043</v>
      </c>
      <c r="Y59" s="34">
        <f t="shared" si="24"/>
        <v>-42128.569047619043</v>
      </c>
      <c r="Z59" s="34">
        <f t="shared" si="24"/>
        <v>-43628.569047619043</v>
      </c>
      <c r="AA59" s="34">
        <f t="shared" si="24"/>
        <v>-43628.569047619043</v>
      </c>
      <c r="AB59" s="34">
        <f t="shared" si="24"/>
        <v>-43628.569047619043</v>
      </c>
      <c r="AC59" s="34">
        <f t="shared" si="24"/>
        <v>-51828.569047619043</v>
      </c>
      <c r="AD59" s="34">
        <f t="shared" si="24"/>
        <v>-43628.569047619043</v>
      </c>
      <c r="AE59" s="34">
        <f t="shared" si="24"/>
        <v>-43628.569047619043</v>
      </c>
    </row>
    <row r="60" spans="2:31" x14ac:dyDescent="0.25">
      <c r="B60" s="59" t="s">
        <v>68</v>
      </c>
      <c r="C60" s="59">
        <f t="shared" ref="C60:N60" si="25">C6</f>
        <v>1060.8</v>
      </c>
      <c r="D60" s="59">
        <f t="shared" si="25"/>
        <v>1060.8</v>
      </c>
      <c r="E60" s="59">
        <f t="shared" si="25"/>
        <v>1060.8</v>
      </c>
      <c r="F60" s="59">
        <f t="shared" si="25"/>
        <v>1060.8</v>
      </c>
      <c r="G60" s="59">
        <f t="shared" si="25"/>
        <v>1060.8</v>
      </c>
      <c r="H60" s="59">
        <f t="shared" si="25"/>
        <v>1060.8</v>
      </c>
      <c r="I60" s="59">
        <f t="shared" si="25"/>
        <v>1060.8</v>
      </c>
      <c r="J60" s="59">
        <f t="shared" si="25"/>
        <v>1060.8</v>
      </c>
      <c r="K60" s="59">
        <f t="shared" si="25"/>
        <v>1060.8</v>
      </c>
      <c r="L60" s="59">
        <f t="shared" si="25"/>
        <v>1060.8</v>
      </c>
      <c r="M60" s="59">
        <f t="shared" si="25"/>
        <v>1060.8</v>
      </c>
      <c r="N60" s="59">
        <f t="shared" si="25"/>
        <v>1060.8</v>
      </c>
      <c r="O60" s="34"/>
      <c r="P60" s="34"/>
      <c r="S60" s="34" t="s">
        <v>214</v>
      </c>
      <c r="T60" s="34">
        <f t="shared" ref="T60:AD60" si="26">T58+T59</f>
        <v>22127.190952380959</v>
      </c>
      <c r="U60" s="34">
        <f t="shared" si="26"/>
        <v>-20897.238095238092</v>
      </c>
      <c r="V60" s="34">
        <f t="shared" si="26"/>
        <v>-34728.317142857137</v>
      </c>
      <c r="W60" s="34">
        <f t="shared" si="26"/>
        <v>-78356.886190476187</v>
      </c>
      <c r="X60" s="34">
        <f t="shared" si="26"/>
        <v>-121985.45523809522</v>
      </c>
      <c r="Y60" s="34">
        <f t="shared" si="26"/>
        <v>-164114.02428571426</v>
      </c>
      <c r="Z60" s="34">
        <f t="shared" si="26"/>
        <v>-207742.59333333329</v>
      </c>
      <c r="AA60" s="34">
        <f t="shared" si="26"/>
        <v>-251371.16238095233</v>
      </c>
      <c r="AB60" s="34">
        <f t="shared" si="26"/>
        <v>-294999.73142857139</v>
      </c>
      <c r="AC60" s="34">
        <f t="shared" si="26"/>
        <v>-346828.30047619046</v>
      </c>
      <c r="AD60" s="34">
        <f t="shared" si="26"/>
        <v>-390456.86952380952</v>
      </c>
      <c r="AE60" s="34">
        <f>AE58+AE59</f>
        <v>-434085.43857142859</v>
      </c>
    </row>
    <row r="61" spans="2:31" x14ac:dyDescent="0.25">
      <c r="B61" s="34" t="s">
        <v>79</v>
      </c>
      <c r="C61" s="34">
        <f t="shared" ref="C61:N61" si="27">C15</f>
        <v>318.24</v>
      </c>
      <c r="D61" s="34">
        <f t="shared" si="27"/>
        <v>318.24</v>
      </c>
      <c r="E61" s="34">
        <f t="shared" si="27"/>
        <v>318.24</v>
      </c>
      <c r="F61" s="34">
        <f t="shared" si="27"/>
        <v>318.24</v>
      </c>
      <c r="G61" s="34">
        <f t="shared" si="27"/>
        <v>318.24</v>
      </c>
      <c r="H61" s="34">
        <f t="shared" si="27"/>
        <v>318.24</v>
      </c>
      <c r="I61" s="34">
        <f t="shared" si="27"/>
        <v>318.24</v>
      </c>
      <c r="J61" s="34">
        <f t="shared" si="27"/>
        <v>318.24</v>
      </c>
      <c r="K61" s="34">
        <f t="shared" si="27"/>
        <v>318.24</v>
      </c>
      <c r="L61" s="34">
        <f t="shared" si="27"/>
        <v>318.24</v>
      </c>
      <c r="M61" s="34">
        <f t="shared" si="27"/>
        <v>318.24</v>
      </c>
      <c r="N61" s="34">
        <f t="shared" si="27"/>
        <v>318.24</v>
      </c>
      <c r="O61" s="34"/>
      <c r="P61" s="34"/>
    </row>
    <row r="62" spans="2:31" x14ac:dyDescent="0.25">
      <c r="B62" s="34" t="s">
        <v>86</v>
      </c>
      <c r="C62" s="34">
        <f>C24+C26</f>
        <v>1420</v>
      </c>
      <c r="D62" s="34">
        <f t="shared" ref="D62:N62" si="28">D24+D26</f>
        <v>1420</v>
      </c>
      <c r="E62" s="34">
        <f t="shared" si="28"/>
        <v>1420</v>
      </c>
      <c r="F62" s="34">
        <f t="shared" si="28"/>
        <v>1420</v>
      </c>
      <c r="G62" s="34">
        <f t="shared" si="28"/>
        <v>1420</v>
      </c>
      <c r="H62" s="34">
        <f t="shared" si="28"/>
        <v>1420</v>
      </c>
      <c r="I62" s="34">
        <f t="shared" si="28"/>
        <v>1420</v>
      </c>
      <c r="J62" s="34">
        <f t="shared" si="28"/>
        <v>1420</v>
      </c>
      <c r="K62" s="34">
        <f t="shared" si="28"/>
        <v>1420</v>
      </c>
      <c r="L62" s="34">
        <f t="shared" si="28"/>
        <v>1420</v>
      </c>
      <c r="M62" s="34">
        <f t="shared" si="28"/>
        <v>1420</v>
      </c>
      <c r="N62" s="34">
        <f t="shared" si="28"/>
        <v>1420</v>
      </c>
      <c r="O62" s="34"/>
      <c r="P62" s="34"/>
    </row>
    <row r="63" spans="2:31" x14ac:dyDescent="0.25">
      <c r="B63" s="59" t="s">
        <v>113</v>
      </c>
      <c r="C63" s="59">
        <f t="shared" ref="C63:N63" si="29">C52</f>
        <v>0</v>
      </c>
      <c r="D63" s="59">
        <f>D52</f>
        <v>0</v>
      </c>
      <c r="E63" s="59">
        <f t="shared" si="29"/>
        <v>0</v>
      </c>
      <c r="F63" s="59">
        <f t="shared" si="29"/>
        <v>0</v>
      </c>
      <c r="G63" s="59">
        <f t="shared" si="29"/>
        <v>0</v>
      </c>
      <c r="H63" s="59">
        <f t="shared" si="29"/>
        <v>0</v>
      </c>
      <c r="I63" s="59">
        <f t="shared" si="29"/>
        <v>0</v>
      </c>
      <c r="J63" s="59">
        <f t="shared" si="29"/>
        <v>0</v>
      </c>
      <c r="K63" s="59">
        <f t="shared" si="29"/>
        <v>0</v>
      </c>
      <c r="L63" s="59">
        <f t="shared" si="29"/>
        <v>0</v>
      </c>
      <c r="M63" s="59">
        <f t="shared" si="29"/>
        <v>0</v>
      </c>
      <c r="N63" s="59">
        <f t="shared" si="29"/>
        <v>0</v>
      </c>
      <c r="O63" s="34"/>
      <c r="P63" s="34"/>
    </row>
    <row r="64" spans="2:31" x14ac:dyDescent="0.25">
      <c r="B64" s="44" t="s">
        <v>117</v>
      </c>
      <c r="C64" s="42">
        <f t="shared" ref="C64:N64" si="30">C61+C62+C63</f>
        <v>1738.24</v>
      </c>
      <c r="D64" s="42">
        <f t="shared" si="30"/>
        <v>1738.24</v>
      </c>
      <c r="E64" s="42">
        <f t="shared" si="30"/>
        <v>1738.24</v>
      </c>
      <c r="F64" s="42">
        <f t="shared" si="30"/>
        <v>1738.24</v>
      </c>
      <c r="G64" s="42">
        <f t="shared" si="30"/>
        <v>1738.24</v>
      </c>
      <c r="H64" s="42">
        <f t="shared" si="30"/>
        <v>1738.24</v>
      </c>
      <c r="I64" s="42">
        <f t="shared" si="30"/>
        <v>1738.24</v>
      </c>
      <c r="J64" s="42">
        <f t="shared" si="30"/>
        <v>1738.24</v>
      </c>
      <c r="K64" s="42">
        <f t="shared" si="30"/>
        <v>1738.24</v>
      </c>
      <c r="L64" s="42">
        <f t="shared" si="30"/>
        <v>1738.24</v>
      </c>
      <c r="M64" s="42">
        <f t="shared" si="30"/>
        <v>1738.24</v>
      </c>
      <c r="N64" s="42">
        <f t="shared" si="30"/>
        <v>1738.24</v>
      </c>
      <c r="O64" s="34"/>
      <c r="P64" s="34"/>
    </row>
    <row r="65" spans="2:27" x14ac:dyDescent="0.25">
      <c r="B65" s="45" t="s">
        <v>118</v>
      </c>
      <c r="C65" s="43">
        <f t="shared" ref="C65:N65" si="31">C60-C64</f>
        <v>-677.44</v>
      </c>
      <c r="D65" s="43">
        <f>D60-D64</f>
        <v>-677.44</v>
      </c>
      <c r="E65" s="43">
        <f t="shared" si="31"/>
        <v>-677.44</v>
      </c>
      <c r="F65" s="43">
        <f t="shared" si="31"/>
        <v>-677.44</v>
      </c>
      <c r="G65" s="43">
        <f t="shared" si="31"/>
        <v>-677.44</v>
      </c>
      <c r="H65" s="43">
        <f t="shared" si="31"/>
        <v>-677.44</v>
      </c>
      <c r="I65" s="43">
        <f t="shared" si="31"/>
        <v>-677.44</v>
      </c>
      <c r="J65" s="43">
        <f t="shared" si="31"/>
        <v>-677.44</v>
      </c>
      <c r="K65" s="43">
        <f t="shared" si="31"/>
        <v>-677.44</v>
      </c>
      <c r="L65" s="43">
        <f t="shared" si="31"/>
        <v>-677.44</v>
      </c>
      <c r="M65" s="43">
        <f t="shared" si="31"/>
        <v>-677.44</v>
      </c>
      <c r="N65" s="43">
        <f t="shared" si="31"/>
        <v>-677.44</v>
      </c>
      <c r="O65" s="34"/>
      <c r="P65" s="34"/>
    </row>
    <row r="66" spans="2:27" x14ac:dyDescent="0.25">
      <c r="B66" s="59" t="s">
        <v>81</v>
      </c>
      <c r="C66" s="59">
        <v>15000</v>
      </c>
      <c r="D66" s="59">
        <f t="shared" ref="D66:N66" si="32">C65</f>
        <v>-677.44</v>
      </c>
      <c r="E66" s="59">
        <f t="shared" si="32"/>
        <v>-677.44</v>
      </c>
      <c r="F66" s="59">
        <f t="shared" si="32"/>
        <v>-677.44</v>
      </c>
      <c r="G66" s="59">
        <f t="shared" si="32"/>
        <v>-677.44</v>
      </c>
      <c r="H66" s="59">
        <f t="shared" si="32"/>
        <v>-677.44</v>
      </c>
      <c r="I66" s="59">
        <f t="shared" si="32"/>
        <v>-677.44</v>
      </c>
      <c r="J66" s="59">
        <f t="shared" si="32"/>
        <v>-677.44</v>
      </c>
      <c r="K66" s="59">
        <f t="shared" si="32"/>
        <v>-677.44</v>
      </c>
      <c r="L66" s="59">
        <f t="shared" si="32"/>
        <v>-677.44</v>
      </c>
      <c r="M66" s="59">
        <f t="shared" si="32"/>
        <v>-677.44</v>
      </c>
      <c r="N66" s="59">
        <f t="shared" si="32"/>
        <v>-677.44</v>
      </c>
      <c r="O66" s="60" t="s">
        <v>119</v>
      </c>
      <c r="P66" s="61">
        <f>N65</f>
        <v>-677.44</v>
      </c>
    </row>
    <row r="69" spans="2:27" ht="14.25" customHeight="1" x14ac:dyDescent="0.25">
      <c r="B69" s="288" t="s">
        <v>120</v>
      </c>
      <c r="C69" s="288"/>
      <c r="D69" s="288"/>
      <c r="E69" s="288"/>
      <c r="F69" s="288"/>
      <c r="G69" s="288"/>
      <c r="H69" s="288"/>
      <c r="I69" s="288"/>
      <c r="J69" s="288"/>
      <c r="K69" s="288"/>
      <c r="L69" s="288"/>
      <c r="M69" s="288"/>
      <c r="N69" s="288"/>
      <c r="O69" s="288"/>
      <c r="P69" s="288"/>
    </row>
    <row r="70" spans="2:27" ht="15" customHeight="1" x14ac:dyDescent="0.25">
      <c r="B70" s="213"/>
      <c r="C70" s="215" t="s">
        <v>50</v>
      </c>
      <c r="D70" s="215" t="s">
        <v>51</v>
      </c>
      <c r="E70" s="215" t="s">
        <v>52</v>
      </c>
      <c r="F70" s="215" t="s">
        <v>53</v>
      </c>
      <c r="G70" s="215" t="s">
        <v>54</v>
      </c>
      <c r="H70" s="215" t="s">
        <v>55</v>
      </c>
      <c r="I70" s="215" t="s">
        <v>56</v>
      </c>
      <c r="J70" s="215" t="s">
        <v>57</v>
      </c>
      <c r="K70" s="215" t="s">
        <v>58</v>
      </c>
      <c r="L70" s="215" t="s">
        <v>59</v>
      </c>
      <c r="M70" s="215" t="s">
        <v>60</v>
      </c>
      <c r="N70" s="215" t="s">
        <v>61</v>
      </c>
      <c r="O70" s="220" t="s">
        <v>62</v>
      </c>
      <c r="P70" s="221"/>
    </row>
    <row r="71" spans="2:27" x14ac:dyDescent="0.25">
      <c r="B71" s="214"/>
      <c r="C71" s="216"/>
      <c r="D71" s="216"/>
      <c r="E71" s="216"/>
      <c r="F71" s="216"/>
      <c r="G71" s="216"/>
      <c r="H71" s="216"/>
      <c r="I71" s="216"/>
      <c r="J71" s="216"/>
      <c r="K71" s="216"/>
      <c r="L71" s="216"/>
      <c r="M71" s="216"/>
      <c r="N71" s="216"/>
      <c r="O71" s="58" t="s">
        <v>64</v>
      </c>
      <c r="P71" s="58" t="s">
        <v>65</v>
      </c>
      <c r="S71" s="228" t="s">
        <v>63</v>
      </c>
      <c r="T71" s="229"/>
      <c r="V71" s="223" t="s">
        <v>228</v>
      </c>
      <c r="W71" s="224"/>
      <c r="X71" s="224"/>
      <c r="Y71" s="224"/>
      <c r="Z71" s="224"/>
      <c r="AA71" s="224"/>
    </row>
    <row r="72" spans="2:27" ht="30" x14ac:dyDescent="0.25">
      <c r="B72" s="35" t="s">
        <v>121</v>
      </c>
      <c r="C72" s="35">
        <f>'Bilan et CDR N'!I14</f>
        <v>78000</v>
      </c>
      <c r="D72" s="35">
        <f t="shared" ref="D72:N72" si="33">D8</f>
        <v>6364.8</v>
      </c>
      <c r="E72" s="35">
        <f t="shared" si="33"/>
        <v>6364.8</v>
      </c>
      <c r="F72" s="35">
        <f t="shared" si="33"/>
        <v>6364.8</v>
      </c>
      <c r="G72" s="35">
        <f t="shared" si="33"/>
        <v>6364.8</v>
      </c>
      <c r="H72" s="35">
        <f t="shared" si="33"/>
        <v>6364.8</v>
      </c>
      <c r="I72" s="35">
        <f t="shared" si="33"/>
        <v>6364.8</v>
      </c>
      <c r="J72" s="43">
        <f t="shared" si="33"/>
        <v>6364.8</v>
      </c>
      <c r="K72" s="35">
        <f t="shared" si="33"/>
        <v>6364.8</v>
      </c>
      <c r="L72" s="35">
        <f t="shared" si="33"/>
        <v>6364.8</v>
      </c>
      <c r="M72" s="35">
        <f t="shared" si="33"/>
        <v>6364.8</v>
      </c>
      <c r="N72" s="35">
        <f t="shared" si="33"/>
        <v>6364.8</v>
      </c>
      <c r="O72" s="34"/>
      <c r="P72" s="34"/>
      <c r="S72" s="143" t="s">
        <v>1</v>
      </c>
      <c r="T72" s="21">
        <f>P5</f>
        <v>63648</v>
      </c>
      <c r="V72" s="144" t="s">
        <v>2</v>
      </c>
      <c r="W72" s="145" t="s">
        <v>3</v>
      </c>
      <c r="X72" s="145" t="s">
        <v>4</v>
      </c>
      <c r="Y72" s="145" t="s">
        <v>5</v>
      </c>
      <c r="Z72" s="146" t="s">
        <v>6</v>
      </c>
      <c r="AA72" s="147" t="s">
        <v>5</v>
      </c>
    </row>
    <row r="73" spans="2:27" x14ac:dyDescent="0.25">
      <c r="B73" s="34" t="s">
        <v>122</v>
      </c>
      <c r="C73" s="34"/>
      <c r="D73" s="34"/>
      <c r="E73" s="34">
        <f>E9</f>
        <v>30000</v>
      </c>
      <c r="F73" s="34"/>
      <c r="G73" s="34"/>
      <c r="H73" s="34">
        <v>1500</v>
      </c>
      <c r="I73" s="34"/>
      <c r="J73" s="34"/>
      <c r="K73" s="34"/>
      <c r="L73" s="34"/>
      <c r="M73" s="34"/>
      <c r="N73" s="34"/>
      <c r="O73" s="34"/>
      <c r="P73" s="34"/>
      <c r="S73" s="143" t="s">
        <v>67</v>
      </c>
      <c r="T73" s="21">
        <v>0</v>
      </c>
      <c r="V73" s="148" t="s">
        <v>8</v>
      </c>
      <c r="W73" s="148"/>
      <c r="X73" s="148">
        <f>X75+X74</f>
        <v>46600</v>
      </c>
      <c r="Y73" s="148"/>
      <c r="Z73" s="148" t="s">
        <v>9</v>
      </c>
      <c r="AA73" s="149"/>
    </row>
    <row r="74" spans="2:27" ht="30" x14ac:dyDescent="0.25">
      <c r="B74" s="59" t="s">
        <v>123</v>
      </c>
      <c r="C74" s="59">
        <f t="shared" ref="C74:N74" si="34">C73+C72</f>
        <v>78000</v>
      </c>
      <c r="D74" s="59">
        <f t="shared" si="34"/>
        <v>6364.8</v>
      </c>
      <c r="E74" s="59">
        <f t="shared" si="34"/>
        <v>36364.800000000003</v>
      </c>
      <c r="F74" s="59">
        <f t="shared" si="34"/>
        <v>6364.8</v>
      </c>
      <c r="G74" s="59">
        <f t="shared" si="34"/>
        <v>6364.8</v>
      </c>
      <c r="H74" s="59">
        <f t="shared" si="34"/>
        <v>7864.8</v>
      </c>
      <c r="I74" s="59">
        <f t="shared" si="34"/>
        <v>6364.8</v>
      </c>
      <c r="J74" s="59">
        <f t="shared" si="34"/>
        <v>6364.8</v>
      </c>
      <c r="K74" s="59">
        <f t="shared" si="34"/>
        <v>6364.8</v>
      </c>
      <c r="L74" s="59">
        <f t="shared" si="34"/>
        <v>6364.8</v>
      </c>
      <c r="M74" s="59">
        <f t="shared" si="34"/>
        <v>6364.8</v>
      </c>
      <c r="N74" s="59">
        <f t="shared" si="34"/>
        <v>6364.8</v>
      </c>
      <c r="O74" s="34"/>
      <c r="P74" s="34"/>
      <c r="S74" s="144" t="s">
        <v>10</v>
      </c>
      <c r="T74" s="131">
        <f>T72+T73</f>
        <v>63648</v>
      </c>
      <c r="V74" s="150" t="s">
        <v>11</v>
      </c>
      <c r="W74" s="150">
        <f>'Bilan et CDR N'!G7</f>
        <v>159000</v>
      </c>
      <c r="X74" s="150">
        <f>'Bilan et CDR N'!H7+P30*0.75</f>
        <v>14125</v>
      </c>
      <c r="Y74" s="150">
        <f>W74-X74</f>
        <v>144875</v>
      </c>
      <c r="Z74" s="150" t="s">
        <v>12</v>
      </c>
      <c r="AA74" s="151">
        <f>'Bilan et CDR N'!K7+'Hyp | 3 ans + Crédit Bail'!P9</f>
        <v>80000</v>
      </c>
    </row>
    <row r="75" spans="2:27" x14ac:dyDescent="0.25">
      <c r="B75" s="39" t="s">
        <v>124</v>
      </c>
      <c r="C75" s="41">
        <f t="shared" ref="C75:N75" si="35">C17</f>
        <v>25409.439999999999</v>
      </c>
      <c r="D75" s="41">
        <f t="shared" si="35"/>
        <v>1909.44</v>
      </c>
      <c r="E75" s="41">
        <f t="shared" si="35"/>
        <v>1909.44</v>
      </c>
      <c r="F75" s="41">
        <f t="shared" si="35"/>
        <v>1909.44</v>
      </c>
      <c r="G75" s="41">
        <f t="shared" si="35"/>
        <v>1909.44</v>
      </c>
      <c r="H75" s="41">
        <f t="shared" si="35"/>
        <v>1909.44</v>
      </c>
      <c r="I75" s="41">
        <f t="shared" si="35"/>
        <v>1909.44</v>
      </c>
      <c r="J75" s="41">
        <f t="shared" si="35"/>
        <v>1909.44</v>
      </c>
      <c r="K75" s="41">
        <f t="shared" si="35"/>
        <v>1909.44</v>
      </c>
      <c r="L75" s="41">
        <f t="shared" si="35"/>
        <v>1909.44</v>
      </c>
      <c r="M75" s="41">
        <f t="shared" si="35"/>
        <v>1909.44</v>
      </c>
      <c r="N75" s="41">
        <f t="shared" si="35"/>
        <v>1909.44</v>
      </c>
      <c r="O75" s="34"/>
      <c r="P75" s="34"/>
      <c r="S75" s="143" t="s">
        <v>70</v>
      </c>
      <c r="T75" s="21">
        <f>P14</f>
        <v>19094.400000000005</v>
      </c>
      <c r="V75" s="150" t="s">
        <v>14</v>
      </c>
      <c r="W75" s="150">
        <f>P51+'Bilan et CDR N'!G8</f>
        <v>55000</v>
      </c>
      <c r="X75" s="150">
        <f>'Bilan et CDR N'!H8+P30*0.25</f>
        <v>32475</v>
      </c>
      <c r="Y75" s="150">
        <f>W75-X75</f>
        <v>22525</v>
      </c>
      <c r="Z75" s="150" t="s">
        <v>15</v>
      </c>
      <c r="AA75" s="151">
        <f>'Bilan et CDR N'!K8</f>
        <v>5000</v>
      </c>
    </row>
    <row r="76" spans="2:27" x14ac:dyDescent="0.25">
      <c r="B76" s="39" t="s">
        <v>125</v>
      </c>
      <c r="C76" s="41">
        <f>'Bilan et CDR N'!$K$16/12</f>
        <v>375</v>
      </c>
      <c r="D76" s="41">
        <f>'Bilan et CDR N'!$K$16/12</f>
        <v>375</v>
      </c>
      <c r="E76" s="41">
        <f>'Bilan et CDR N'!$K$16/12</f>
        <v>375</v>
      </c>
      <c r="F76" s="41">
        <f>'Bilan et CDR N'!$K$16/12</f>
        <v>375</v>
      </c>
      <c r="G76" s="41">
        <f>'Bilan et CDR N'!$K$16/12</f>
        <v>375</v>
      </c>
      <c r="H76" s="41">
        <f>'Bilan et CDR N'!$K$16/12</f>
        <v>375</v>
      </c>
      <c r="I76" s="41">
        <f>'Bilan et CDR N'!$K$16/12</f>
        <v>375</v>
      </c>
      <c r="J76" s="41">
        <f>'Bilan et CDR N'!$K$16/12</f>
        <v>375</v>
      </c>
      <c r="K76" s="41">
        <f>'Bilan et CDR N'!$K$16/12</f>
        <v>375</v>
      </c>
      <c r="L76" s="41">
        <f>'Bilan et CDR N'!$K$16/12</f>
        <v>375</v>
      </c>
      <c r="M76" s="41">
        <f>'Bilan et CDR N'!$K$16/12</f>
        <v>375</v>
      </c>
      <c r="N76" s="41">
        <f>'Bilan et CDR N'!$K$16/12</f>
        <v>375</v>
      </c>
      <c r="O76" s="34"/>
      <c r="P76" s="34"/>
      <c r="S76" s="143" t="s">
        <v>73</v>
      </c>
      <c r="T76" s="21">
        <f>P23+P25</f>
        <v>88896.428571428565</v>
      </c>
      <c r="V76" s="148"/>
      <c r="W76" s="148"/>
      <c r="X76" s="148"/>
      <c r="Y76" s="148"/>
      <c r="Z76" s="150" t="s">
        <v>17</v>
      </c>
      <c r="AA76" s="151">
        <f>'Bilan et CDR N'!K9+'Bilan et CDR N'!C23</f>
        <v>22728</v>
      </c>
    </row>
    <row r="77" spans="2:27" x14ac:dyDescent="0.25">
      <c r="B77" s="39" t="s">
        <v>126</v>
      </c>
      <c r="C77" s="41">
        <f t="shared" ref="C77:N77" si="36">C32</f>
        <v>25625</v>
      </c>
      <c r="D77" s="41">
        <f t="shared" si="36"/>
        <v>25625</v>
      </c>
      <c r="E77" s="41">
        <f t="shared" si="36"/>
        <v>25625</v>
      </c>
      <c r="F77" s="41">
        <f t="shared" si="36"/>
        <v>25625</v>
      </c>
      <c r="G77" s="41">
        <f t="shared" si="36"/>
        <v>25625</v>
      </c>
      <c r="H77" s="41">
        <f t="shared" si="36"/>
        <v>25625</v>
      </c>
      <c r="I77" s="41">
        <f t="shared" si="36"/>
        <v>25625</v>
      </c>
      <c r="J77" s="41">
        <f t="shared" si="36"/>
        <v>25625</v>
      </c>
      <c r="K77" s="41">
        <f t="shared" si="36"/>
        <v>25625</v>
      </c>
      <c r="L77" s="41">
        <f t="shared" si="36"/>
        <v>25625</v>
      </c>
      <c r="M77" s="41">
        <f t="shared" si="36"/>
        <v>25625</v>
      </c>
      <c r="N77" s="41">
        <f t="shared" si="36"/>
        <v>25625</v>
      </c>
      <c r="O77" s="34"/>
      <c r="P77" s="34"/>
      <c r="S77" s="143" t="s">
        <v>18</v>
      </c>
      <c r="T77" s="21">
        <f>P40</f>
        <v>8200</v>
      </c>
      <c r="V77" s="150"/>
      <c r="W77" s="150"/>
      <c r="X77" s="150"/>
      <c r="Y77" s="150"/>
      <c r="Z77" s="150" t="s">
        <v>19</v>
      </c>
      <c r="AA77" s="151">
        <f>T89</f>
        <v>-497234.19857142854</v>
      </c>
    </row>
    <row r="78" spans="2:27" x14ac:dyDescent="0.25">
      <c r="B78" s="39" t="s">
        <v>21</v>
      </c>
      <c r="C78" s="41">
        <f t="shared" ref="C78:N78" si="37">C34</f>
        <v>16000</v>
      </c>
      <c r="D78" s="41">
        <f t="shared" si="37"/>
        <v>10250</v>
      </c>
      <c r="E78" s="41">
        <f t="shared" si="37"/>
        <v>10250</v>
      </c>
      <c r="F78" s="41">
        <f t="shared" si="37"/>
        <v>10250</v>
      </c>
      <c r="G78" s="41">
        <f t="shared" si="37"/>
        <v>10250</v>
      </c>
      <c r="H78" s="41">
        <f t="shared" si="37"/>
        <v>10250</v>
      </c>
      <c r="I78" s="41">
        <f t="shared" si="37"/>
        <v>10250</v>
      </c>
      <c r="J78" s="41">
        <f t="shared" si="37"/>
        <v>10250</v>
      </c>
      <c r="K78" s="41">
        <f t="shared" si="37"/>
        <v>10250</v>
      </c>
      <c r="L78" s="41">
        <f t="shared" si="37"/>
        <v>10250</v>
      </c>
      <c r="M78" s="41">
        <f t="shared" si="37"/>
        <v>10250</v>
      </c>
      <c r="N78" s="41">
        <f t="shared" si="37"/>
        <v>10250</v>
      </c>
      <c r="O78" s="34"/>
      <c r="P78" s="34"/>
      <c r="S78" s="143" t="s">
        <v>20</v>
      </c>
      <c r="T78" s="21">
        <f>P32</f>
        <v>307500</v>
      </c>
      <c r="V78" s="152"/>
      <c r="W78" s="153"/>
      <c r="Y78" s="153"/>
      <c r="Z78" s="151"/>
      <c r="AA78" s="149"/>
    </row>
    <row r="79" spans="2:27" x14ac:dyDescent="0.25">
      <c r="B79" s="39" t="s">
        <v>102</v>
      </c>
      <c r="C79" s="41">
        <f t="shared" ref="C79:N79" si="38">C41</f>
        <v>0</v>
      </c>
      <c r="D79" s="41">
        <f t="shared" si="38"/>
        <v>0</v>
      </c>
      <c r="E79" s="41">
        <f t="shared" si="38"/>
        <v>0</v>
      </c>
      <c r="F79" s="41">
        <f t="shared" si="38"/>
        <v>0</v>
      </c>
      <c r="G79" s="41">
        <f t="shared" si="38"/>
        <v>0</v>
      </c>
      <c r="H79" s="41">
        <f t="shared" si="38"/>
        <v>0</v>
      </c>
      <c r="I79" s="41">
        <f t="shared" si="38"/>
        <v>0</v>
      </c>
      <c r="J79" s="41">
        <f t="shared" si="38"/>
        <v>0</v>
      </c>
      <c r="K79" s="41">
        <f t="shared" si="38"/>
        <v>0</v>
      </c>
      <c r="L79" s="41">
        <f t="shared" si="38"/>
        <v>8200</v>
      </c>
      <c r="M79" s="41">
        <f t="shared" si="38"/>
        <v>0</v>
      </c>
      <c r="N79" s="41">
        <f t="shared" si="38"/>
        <v>0</v>
      </c>
      <c r="O79" s="34"/>
      <c r="P79" s="34"/>
      <c r="S79" s="143" t="s">
        <v>21</v>
      </c>
      <c r="T79" s="21">
        <f>P33</f>
        <v>123000</v>
      </c>
      <c r="V79" s="148" t="s">
        <v>22</v>
      </c>
      <c r="W79" s="148"/>
      <c r="X79" s="148"/>
      <c r="Y79" s="148"/>
      <c r="Z79" s="148" t="s">
        <v>23</v>
      </c>
      <c r="AA79" s="149"/>
    </row>
    <row r="80" spans="2:27" ht="30" x14ac:dyDescent="0.25">
      <c r="B80" s="39" t="s">
        <v>127</v>
      </c>
      <c r="C80" s="41">
        <f t="shared" ref="C80:N80" si="39">C28</f>
        <v>8828.0357142857138</v>
      </c>
      <c r="D80" s="41">
        <f t="shared" si="39"/>
        <v>8828.0357142857138</v>
      </c>
      <c r="E80" s="41">
        <f t="shared" si="39"/>
        <v>8828.0357142857138</v>
      </c>
      <c r="F80" s="41">
        <f t="shared" si="39"/>
        <v>8828.0357142857138</v>
      </c>
      <c r="G80" s="41">
        <f t="shared" si="39"/>
        <v>8828.0357142857138</v>
      </c>
      <c r="H80" s="41">
        <f t="shared" si="39"/>
        <v>8828.0357142857138</v>
      </c>
      <c r="I80" s="41">
        <f t="shared" si="39"/>
        <v>8828.0357142857138</v>
      </c>
      <c r="J80" s="41">
        <f t="shared" si="39"/>
        <v>8828.0357142857138</v>
      </c>
      <c r="K80" s="41">
        <f t="shared" si="39"/>
        <v>8828.0357142857138</v>
      </c>
      <c r="L80" s="41">
        <f t="shared" si="39"/>
        <v>8828.0357142857138</v>
      </c>
      <c r="M80" s="41">
        <f t="shared" si="39"/>
        <v>8828.0357142857138</v>
      </c>
      <c r="N80" s="41">
        <f t="shared" si="39"/>
        <v>8828.0357142857138</v>
      </c>
      <c r="O80" s="34"/>
      <c r="P80" s="34"/>
      <c r="S80" s="143" t="s">
        <v>75</v>
      </c>
      <c r="T80" s="21">
        <f>P30</f>
        <v>7500</v>
      </c>
      <c r="V80" s="150" t="s">
        <v>25</v>
      </c>
      <c r="W80" s="150">
        <f>'Bilan et CDR N'!G13</f>
        <v>15000</v>
      </c>
      <c r="X80" s="150"/>
      <c r="Y80" s="150">
        <f>W80</f>
        <v>15000</v>
      </c>
      <c r="Z80" s="150" t="s">
        <v>26</v>
      </c>
      <c r="AA80" s="151">
        <f>'Bilan et CDR N'!K13-P43</f>
        <v>80000</v>
      </c>
    </row>
    <row r="81" spans="2:27" x14ac:dyDescent="0.25">
      <c r="B81" s="39" t="s">
        <v>128</v>
      </c>
      <c r="C81" s="41">
        <f t="shared" ref="C81:N81" si="40">C45</f>
        <v>3683.3333333333335</v>
      </c>
      <c r="D81" s="41">
        <f t="shared" si="40"/>
        <v>3683.3333333333335</v>
      </c>
      <c r="E81" s="41">
        <f t="shared" si="40"/>
        <v>3683.3333333333335</v>
      </c>
      <c r="F81" s="41">
        <f t="shared" si="40"/>
        <v>3683.3333333333335</v>
      </c>
      <c r="G81" s="41">
        <f t="shared" si="40"/>
        <v>3683.3333333333335</v>
      </c>
      <c r="H81" s="41">
        <f t="shared" si="40"/>
        <v>3683.3333333333335</v>
      </c>
      <c r="I81" s="41">
        <f t="shared" si="40"/>
        <v>3683.3333333333335</v>
      </c>
      <c r="J81" s="41">
        <f t="shared" si="40"/>
        <v>3683.3333333333335</v>
      </c>
      <c r="K81" s="41">
        <f t="shared" si="40"/>
        <v>3683.3333333333335</v>
      </c>
      <c r="L81" s="41">
        <f t="shared" si="40"/>
        <v>3683.3333333333335</v>
      </c>
      <c r="M81" s="41">
        <f t="shared" si="40"/>
        <v>3683.3333333333335</v>
      </c>
      <c r="N81" s="41">
        <f t="shared" si="40"/>
        <v>3683.3333333333335</v>
      </c>
      <c r="O81" s="34"/>
      <c r="P81" s="34"/>
      <c r="S81" s="144" t="s">
        <v>76</v>
      </c>
      <c r="T81" s="131">
        <f>SUM(T75:T80)</f>
        <v>554190.82857142854</v>
      </c>
      <c r="V81" s="150" t="s">
        <v>28</v>
      </c>
      <c r="W81" s="150">
        <f>P8</f>
        <v>6364.8</v>
      </c>
      <c r="X81" s="150"/>
      <c r="Y81" s="150">
        <f>W81</f>
        <v>6364.8</v>
      </c>
      <c r="Z81" s="150" t="s">
        <v>29</v>
      </c>
      <c r="AA81" s="151">
        <f>P17</f>
        <v>0</v>
      </c>
    </row>
    <row r="82" spans="2:27" x14ac:dyDescent="0.25">
      <c r="B82" s="39" t="s">
        <v>129</v>
      </c>
      <c r="C82" s="41">
        <f t="shared" ref="C82:N82" si="41">C53</f>
        <v>0</v>
      </c>
      <c r="D82" s="41">
        <f t="shared" si="41"/>
        <v>0</v>
      </c>
      <c r="E82" s="41">
        <f t="shared" si="41"/>
        <v>0</v>
      </c>
      <c r="F82" s="41">
        <f t="shared" si="41"/>
        <v>0</v>
      </c>
      <c r="G82" s="41">
        <f t="shared" si="41"/>
        <v>0</v>
      </c>
      <c r="H82" s="41">
        <f t="shared" si="41"/>
        <v>0</v>
      </c>
      <c r="I82" s="41">
        <f t="shared" si="41"/>
        <v>0</v>
      </c>
      <c r="J82" s="41">
        <f t="shared" si="41"/>
        <v>0</v>
      </c>
      <c r="K82" s="41">
        <f t="shared" si="41"/>
        <v>0</v>
      </c>
      <c r="L82" s="41">
        <f t="shared" si="41"/>
        <v>0</v>
      </c>
      <c r="M82" s="41">
        <f t="shared" si="41"/>
        <v>0</v>
      </c>
      <c r="N82" s="41">
        <f t="shared" si="41"/>
        <v>0</v>
      </c>
      <c r="O82" s="34"/>
      <c r="P82" s="34"/>
      <c r="S82" s="154" t="s">
        <v>30</v>
      </c>
      <c r="T82" s="155">
        <f>T74-T81</f>
        <v>-490542.82857142854</v>
      </c>
      <c r="V82" s="150" t="s">
        <v>34</v>
      </c>
      <c r="W82" s="150">
        <f>AE60</f>
        <v>-434085.43857142859</v>
      </c>
      <c r="X82" s="150"/>
      <c r="Y82" s="150">
        <f>W82</f>
        <v>-434085.43857142859</v>
      </c>
      <c r="Z82" s="150" t="s">
        <v>32</v>
      </c>
      <c r="AA82" s="151">
        <f>P66+P34</f>
        <v>9572.56</v>
      </c>
    </row>
    <row r="83" spans="2:27" x14ac:dyDescent="0.25">
      <c r="B83" s="39" t="s">
        <v>130</v>
      </c>
      <c r="C83" s="41">
        <f t="shared" ref="C83:N83" si="42">C66</f>
        <v>15000</v>
      </c>
      <c r="D83" s="41">
        <f t="shared" si="42"/>
        <v>-677.44</v>
      </c>
      <c r="E83" s="41">
        <f t="shared" si="42"/>
        <v>-677.44</v>
      </c>
      <c r="F83" s="41">
        <f t="shared" si="42"/>
        <v>-677.44</v>
      </c>
      <c r="G83" s="41">
        <f t="shared" si="42"/>
        <v>-677.44</v>
      </c>
      <c r="H83" s="41">
        <f t="shared" si="42"/>
        <v>-677.44</v>
      </c>
      <c r="I83" s="41">
        <f t="shared" si="42"/>
        <v>-677.44</v>
      </c>
      <c r="J83" s="41">
        <f t="shared" si="42"/>
        <v>-677.44</v>
      </c>
      <c r="K83" s="41">
        <f t="shared" si="42"/>
        <v>-677.44</v>
      </c>
      <c r="L83" s="41">
        <f t="shared" si="42"/>
        <v>-677.44</v>
      </c>
      <c r="M83" s="41">
        <f t="shared" si="42"/>
        <v>-677.44</v>
      </c>
      <c r="N83" s="41">
        <f t="shared" si="42"/>
        <v>-677.44</v>
      </c>
      <c r="O83" s="34"/>
      <c r="P83" s="34"/>
      <c r="S83" s="144" t="s">
        <v>33</v>
      </c>
      <c r="T83" s="131">
        <v>0</v>
      </c>
      <c r="V83" s="150"/>
      <c r="W83" s="150"/>
      <c r="X83" s="150"/>
      <c r="Y83" s="150"/>
      <c r="Z83" s="150" t="s">
        <v>221</v>
      </c>
      <c r="AA83" s="151">
        <f>SUM(T53:AE53)</f>
        <v>35591</v>
      </c>
    </row>
    <row r="84" spans="2:27" x14ac:dyDescent="0.25">
      <c r="B84" s="59" t="s">
        <v>131</v>
      </c>
      <c r="C84" s="59">
        <f t="shared" ref="C84:N84" si="43">SUM(C75:C83)</f>
        <v>94920.809047619041</v>
      </c>
      <c r="D84" s="59">
        <f t="shared" si="43"/>
        <v>49993.369047619046</v>
      </c>
      <c r="E84" s="59">
        <f t="shared" si="43"/>
        <v>49993.369047619046</v>
      </c>
      <c r="F84" s="59">
        <f t="shared" si="43"/>
        <v>49993.369047619046</v>
      </c>
      <c r="G84" s="59">
        <f t="shared" si="43"/>
        <v>49993.369047619046</v>
      </c>
      <c r="H84" s="59">
        <f t="shared" si="43"/>
        <v>49993.369047619046</v>
      </c>
      <c r="I84" s="59">
        <f t="shared" si="43"/>
        <v>49993.369047619046</v>
      </c>
      <c r="J84" s="59">
        <f t="shared" si="43"/>
        <v>49993.369047619046</v>
      </c>
      <c r="K84" s="59">
        <f t="shared" si="43"/>
        <v>49993.369047619046</v>
      </c>
      <c r="L84" s="59">
        <f t="shared" si="43"/>
        <v>58193.369047619046</v>
      </c>
      <c r="M84" s="59">
        <f t="shared" si="43"/>
        <v>49993.369047619046</v>
      </c>
      <c r="N84" s="59">
        <f t="shared" si="43"/>
        <v>49993.369047619046</v>
      </c>
      <c r="O84" s="34"/>
      <c r="P84" s="34"/>
      <c r="S84" s="143" t="s">
        <v>36</v>
      </c>
      <c r="T84" s="21">
        <f>P42+SUM(T56:AE56)</f>
        <v>6691.3700000000008</v>
      </c>
      <c r="V84" s="156" t="s">
        <v>38</v>
      </c>
      <c r="W84" s="156">
        <f>SUM(W74:W82)</f>
        <v>-198720.6385714286</v>
      </c>
      <c r="X84" s="156"/>
      <c r="Y84" s="156">
        <f>SUM(Y74:Y83)</f>
        <v>-245320.6385714286</v>
      </c>
      <c r="Z84" s="156" t="s">
        <v>39</v>
      </c>
      <c r="AA84" s="157">
        <f>SUM(AA74:AA83)</f>
        <v>-264342.63857142854</v>
      </c>
    </row>
    <row r="85" spans="2:27" x14ac:dyDescent="0.25">
      <c r="B85" s="59" t="s">
        <v>132</v>
      </c>
      <c r="C85" s="59">
        <f>'Bilan et CDR N'!I16</f>
        <v>6350</v>
      </c>
      <c r="D85" s="59">
        <f t="shared" ref="D85:N85" si="44">C87</f>
        <v>-10570.809047619041</v>
      </c>
      <c r="E85" s="59">
        <f t="shared" si="44"/>
        <v>-54199.378095238084</v>
      </c>
      <c r="F85" s="59">
        <f t="shared" si="44"/>
        <v>-67827.947142857127</v>
      </c>
      <c r="G85" s="59">
        <f t="shared" si="44"/>
        <v>-111456.51619047616</v>
      </c>
      <c r="H85" s="59">
        <f t="shared" si="44"/>
        <v>-155085.0852380952</v>
      </c>
      <c r="I85" s="59">
        <f t="shared" si="44"/>
        <v>-197213.65428571423</v>
      </c>
      <c r="J85" s="59">
        <f t="shared" si="44"/>
        <v>-240842.22333333327</v>
      </c>
      <c r="K85" s="59">
        <f t="shared" si="44"/>
        <v>-284470.79238095233</v>
      </c>
      <c r="L85" s="59">
        <f t="shared" si="44"/>
        <v>-328099.3614285714</v>
      </c>
      <c r="M85" s="59">
        <f t="shared" si="44"/>
        <v>-379927.93047619046</v>
      </c>
      <c r="N85" s="59">
        <f t="shared" si="44"/>
        <v>-423556.49952380953</v>
      </c>
      <c r="O85" s="34"/>
      <c r="P85" s="34"/>
      <c r="S85" s="144" t="s">
        <v>37</v>
      </c>
      <c r="T85" s="131">
        <f>T84</f>
        <v>6691.3700000000008</v>
      </c>
      <c r="Z85" s="158" t="s">
        <v>42</v>
      </c>
      <c r="AA85" s="159">
        <f>Y84-AA84</f>
        <v>19021.999999999942</v>
      </c>
    </row>
    <row r="86" spans="2:27" x14ac:dyDescent="0.25">
      <c r="B86" s="34" t="s">
        <v>133</v>
      </c>
      <c r="C86" s="34">
        <f t="shared" ref="C86:N86" si="45">C74-C84</f>
        <v>-16920.809047619041</v>
      </c>
      <c r="D86" s="34">
        <f t="shared" si="45"/>
        <v>-43628.569047619043</v>
      </c>
      <c r="E86" s="34">
        <f t="shared" si="45"/>
        <v>-13628.569047619043</v>
      </c>
      <c r="F86" s="34">
        <f t="shared" si="45"/>
        <v>-43628.569047619043</v>
      </c>
      <c r="G86" s="34">
        <f t="shared" si="45"/>
        <v>-43628.569047619043</v>
      </c>
      <c r="H86" s="34">
        <f t="shared" si="45"/>
        <v>-42128.569047619043</v>
      </c>
      <c r="I86" s="34">
        <f t="shared" si="45"/>
        <v>-43628.569047619043</v>
      </c>
      <c r="J86" s="34">
        <f t="shared" si="45"/>
        <v>-43628.569047619043</v>
      </c>
      <c r="K86" s="34">
        <f t="shared" si="45"/>
        <v>-43628.569047619043</v>
      </c>
      <c r="L86" s="34">
        <f t="shared" si="45"/>
        <v>-51828.569047619043</v>
      </c>
      <c r="M86" s="34">
        <f t="shared" si="45"/>
        <v>-43628.569047619043</v>
      </c>
      <c r="N86" s="34">
        <f t="shared" si="45"/>
        <v>-43628.569047619043</v>
      </c>
      <c r="O86" s="34"/>
      <c r="P86" s="34"/>
      <c r="S86" s="154" t="s">
        <v>40</v>
      </c>
      <c r="T86" s="155">
        <f>T83-T85</f>
        <v>-6691.3700000000008</v>
      </c>
    </row>
    <row r="87" spans="2:27" x14ac:dyDescent="0.25">
      <c r="B87" s="59" t="s">
        <v>134</v>
      </c>
      <c r="C87" s="59">
        <f t="shared" ref="C87:N87" si="46">C85+C86</f>
        <v>-10570.809047619041</v>
      </c>
      <c r="D87" s="59">
        <f t="shared" si="46"/>
        <v>-54199.378095238084</v>
      </c>
      <c r="E87" s="59">
        <f t="shared" si="46"/>
        <v>-67827.947142857127</v>
      </c>
      <c r="F87" s="59">
        <f t="shared" si="46"/>
        <v>-111456.51619047616</v>
      </c>
      <c r="G87" s="59">
        <f t="shared" si="46"/>
        <v>-155085.0852380952</v>
      </c>
      <c r="H87" s="59">
        <f t="shared" si="46"/>
        <v>-197213.65428571423</v>
      </c>
      <c r="I87" s="59">
        <f t="shared" si="46"/>
        <v>-240842.22333333327</v>
      </c>
      <c r="J87" s="59">
        <f t="shared" si="46"/>
        <v>-284470.79238095233</v>
      </c>
      <c r="K87" s="59">
        <f t="shared" si="46"/>
        <v>-328099.3614285714</v>
      </c>
      <c r="L87" s="59">
        <f t="shared" si="46"/>
        <v>-379927.93047619046</v>
      </c>
      <c r="M87" s="59">
        <f t="shared" si="46"/>
        <v>-423556.49952380953</v>
      </c>
      <c r="N87" s="59">
        <f t="shared" si="46"/>
        <v>-467185.06857142859</v>
      </c>
      <c r="O87" s="60" t="s">
        <v>135</v>
      </c>
      <c r="P87" s="61">
        <f>N87</f>
        <v>-467185.06857142859</v>
      </c>
      <c r="S87" s="154" t="s">
        <v>43</v>
      </c>
      <c r="T87" s="155">
        <f>T82-(-T86)</f>
        <v>-497234.19857142854</v>
      </c>
    </row>
    <row r="88" spans="2:27" x14ac:dyDescent="0.25">
      <c r="S88" s="154" t="s">
        <v>45</v>
      </c>
      <c r="T88" s="21"/>
    </row>
    <row r="89" spans="2:27" x14ac:dyDescent="0.25">
      <c r="S89" s="160" t="s">
        <v>47</v>
      </c>
      <c r="T89" s="161">
        <f>T87</f>
        <v>-497234.19857142854</v>
      </c>
    </row>
    <row r="91" spans="2:27" ht="24" x14ac:dyDescent="0.4">
      <c r="B91" s="290" t="s">
        <v>136</v>
      </c>
      <c r="C91" s="290"/>
      <c r="D91" s="290"/>
      <c r="E91" s="290"/>
      <c r="F91" s="290"/>
      <c r="G91" s="290"/>
      <c r="H91" s="290"/>
      <c r="I91" s="290"/>
      <c r="J91" s="290"/>
      <c r="K91" s="290"/>
      <c r="L91" s="290"/>
      <c r="M91" s="290"/>
      <c r="N91" s="290"/>
      <c r="O91" s="290"/>
      <c r="P91" s="290"/>
    </row>
    <row r="94" spans="2:27" ht="15" customHeight="1" x14ac:dyDescent="0.25">
      <c r="B94" s="288" t="s">
        <v>137</v>
      </c>
      <c r="C94" s="288"/>
      <c r="D94" s="288"/>
      <c r="E94" s="288"/>
      <c r="F94" s="288"/>
      <c r="G94" s="288"/>
      <c r="H94" s="288"/>
      <c r="I94" s="288"/>
      <c r="J94" s="288"/>
      <c r="K94" s="288"/>
      <c r="L94" s="288"/>
      <c r="M94" s="288"/>
      <c r="N94" s="288"/>
      <c r="O94" s="288"/>
      <c r="P94" s="288"/>
    </row>
    <row r="95" spans="2:27" x14ac:dyDescent="0.25">
      <c r="B95" s="213"/>
      <c r="C95" s="215" t="s">
        <v>50</v>
      </c>
      <c r="D95" s="215" t="s">
        <v>51</v>
      </c>
      <c r="E95" s="215" t="s">
        <v>52</v>
      </c>
      <c r="F95" s="215" t="s">
        <v>53</v>
      </c>
      <c r="G95" s="215" t="s">
        <v>54</v>
      </c>
      <c r="H95" s="215" t="s">
        <v>55</v>
      </c>
      <c r="I95" s="215" t="s">
        <v>56</v>
      </c>
      <c r="J95" s="215" t="s">
        <v>57</v>
      </c>
      <c r="K95" s="215" t="s">
        <v>58</v>
      </c>
      <c r="L95" s="215" t="s">
        <v>59</v>
      </c>
      <c r="M95" s="215" t="s">
        <v>60</v>
      </c>
      <c r="N95" s="215" t="s">
        <v>61</v>
      </c>
      <c r="O95" s="220" t="s">
        <v>62</v>
      </c>
      <c r="P95" s="221"/>
    </row>
    <row r="96" spans="2:27" x14ac:dyDescent="0.25">
      <c r="B96" s="214"/>
      <c r="C96" s="216"/>
      <c r="D96" s="216"/>
      <c r="E96" s="216"/>
      <c r="F96" s="216"/>
      <c r="G96" s="216"/>
      <c r="H96" s="216"/>
      <c r="I96" s="216"/>
      <c r="J96" s="216"/>
      <c r="K96" s="216"/>
      <c r="L96" s="216"/>
      <c r="M96" s="216"/>
      <c r="N96" s="216"/>
      <c r="O96" s="58" t="s">
        <v>64</v>
      </c>
      <c r="P96" s="58" t="s">
        <v>65</v>
      </c>
    </row>
    <row r="97" spans="2:16" x14ac:dyDescent="0.25">
      <c r="B97" s="35" t="s">
        <v>66</v>
      </c>
      <c r="C97" s="35">
        <f>$P$5*1.03/12</f>
        <v>5463.12</v>
      </c>
      <c r="D97" s="35">
        <f t="shared" ref="D97:N97" si="47">$P$5*1.03/12</f>
        <v>5463.12</v>
      </c>
      <c r="E97" s="35">
        <f t="shared" si="47"/>
        <v>5463.12</v>
      </c>
      <c r="F97" s="35">
        <f t="shared" si="47"/>
        <v>5463.12</v>
      </c>
      <c r="G97" s="35">
        <f t="shared" si="47"/>
        <v>5463.12</v>
      </c>
      <c r="H97" s="35">
        <f t="shared" si="47"/>
        <v>5463.12</v>
      </c>
      <c r="I97" s="35">
        <f t="shared" si="47"/>
        <v>5463.12</v>
      </c>
      <c r="J97" s="35">
        <f t="shared" si="47"/>
        <v>5463.12</v>
      </c>
      <c r="K97" s="35">
        <f t="shared" si="47"/>
        <v>5463.12</v>
      </c>
      <c r="L97" s="35">
        <f t="shared" si="47"/>
        <v>5463.12</v>
      </c>
      <c r="M97" s="35">
        <f t="shared" si="47"/>
        <v>5463.12</v>
      </c>
      <c r="N97" s="35">
        <f t="shared" si="47"/>
        <v>5463.12</v>
      </c>
      <c r="O97" s="60" t="s">
        <v>1</v>
      </c>
      <c r="P97" s="61">
        <f>SUM(C97:N97)</f>
        <v>65557.440000000017</v>
      </c>
    </row>
    <row r="98" spans="2:16" x14ac:dyDescent="0.25">
      <c r="B98" s="34" t="s">
        <v>68</v>
      </c>
      <c r="C98" s="34">
        <f t="shared" ref="C98:N98" si="48">C97*20%</f>
        <v>1092.624</v>
      </c>
      <c r="D98" s="34">
        <f t="shared" si="48"/>
        <v>1092.624</v>
      </c>
      <c r="E98" s="34">
        <f t="shared" si="48"/>
        <v>1092.624</v>
      </c>
      <c r="F98" s="34">
        <f t="shared" si="48"/>
        <v>1092.624</v>
      </c>
      <c r="G98" s="34">
        <f t="shared" si="48"/>
        <v>1092.624</v>
      </c>
      <c r="H98" s="34">
        <f t="shared" si="48"/>
        <v>1092.624</v>
      </c>
      <c r="I98" s="34">
        <f t="shared" si="48"/>
        <v>1092.624</v>
      </c>
      <c r="J98" s="34">
        <f t="shared" si="48"/>
        <v>1092.624</v>
      </c>
      <c r="K98" s="34">
        <f t="shared" si="48"/>
        <v>1092.624</v>
      </c>
      <c r="L98" s="34">
        <f t="shared" si="48"/>
        <v>1092.624</v>
      </c>
      <c r="M98" s="34">
        <f t="shared" si="48"/>
        <v>1092.624</v>
      </c>
      <c r="N98" s="34">
        <f t="shared" si="48"/>
        <v>1092.624</v>
      </c>
      <c r="O98" s="34"/>
      <c r="P98" s="34"/>
    </row>
    <row r="99" spans="2:16" x14ac:dyDescent="0.25">
      <c r="B99" s="34" t="s">
        <v>69</v>
      </c>
      <c r="C99" s="34">
        <f t="shared" ref="C99:N99" si="49">C97+C98</f>
        <v>6555.7439999999997</v>
      </c>
      <c r="D99" s="34">
        <f t="shared" si="49"/>
        <v>6555.7439999999997</v>
      </c>
      <c r="E99" s="34">
        <f t="shared" si="49"/>
        <v>6555.7439999999997</v>
      </c>
      <c r="F99" s="34">
        <f t="shared" si="49"/>
        <v>6555.7439999999997</v>
      </c>
      <c r="G99" s="34">
        <f t="shared" si="49"/>
        <v>6555.7439999999997</v>
      </c>
      <c r="H99" s="34">
        <f t="shared" si="49"/>
        <v>6555.7439999999997</v>
      </c>
      <c r="I99" s="34">
        <f t="shared" si="49"/>
        <v>6555.7439999999997</v>
      </c>
      <c r="J99" s="34">
        <f t="shared" si="49"/>
        <v>6555.7439999999997</v>
      </c>
      <c r="K99" s="34">
        <f t="shared" si="49"/>
        <v>6555.7439999999997</v>
      </c>
      <c r="L99" s="34">
        <f t="shared" si="49"/>
        <v>6555.7439999999997</v>
      </c>
      <c r="M99" s="34">
        <f t="shared" si="49"/>
        <v>6555.7439999999997</v>
      </c>
      <c r="N99" s="34">
        <f t="shared" si="49"/>
        <v>6555.7439999999997</v>
      </c>
      <c r="O99" s="34"/>
      <c r="P99" s="34"/>
    </row>
    <row r="100" spans="2:16" x14ac:dyDescent="0.25">
      <c r="B100" s="59" t="s">
        <v>139</v>
      </c>
      <c r="C100" s="59">
        <f>P8</f>
        <v>6364.8</v>
      </c>
      <c r="D100" s="59">
        <f t="shared" ref="D100:N100" si="50">C99</f>
        <v>6555.7439999999997</v>
      </c>
      <c r="E100" s="59">
        <f t="shared" si="50"/>
        <v>6555.7439999999997</v>
      </c>
      <c r="F100" s="59">
        <f t="shared" si="50"/>
        <v>6555.7439999999997</v>
      </c>
      <c r="G100" s="59">
        <f t="shared" si="50"/>
        <v>6555.7439999999997</v>
      </c>
      <c r="H100" s="59">
        <f t="shared" si="50"/>
        <v>6555.7439999999997</v>
      </c>
      <c r="I100" s="59">
        <f t="shared" si="50"/>
        <v>6555.7439999999997</v>
      </c>
      <c r="J100" s="59">
        <f t="shared" si="50"/>
        <v>6555.7439999999997</v>
      </c>
      <c r="K100" s="59">
        <f t="shared" si="50"/>
        <v>6555.7439999999997</v>
      </c>
      <c r="L100" s="59">
        <f t="shared" si="50"/>
        <v>6555.7439999999997</v>
      </c>
      <c r="M100" s="59">
        <f t="shared" si="50"/>
        <v>6555.7439999999997</v>
      </c>
      <c r="N100" s="59">
        <f t="shared" si="50"/>
        <v>6555.7439999999997</v>
      </c>
      <c r="O100" s="60" t="s">
        <v>72</v>
      </c>
      <c r="P100" s="61">
        <f>N99</f>
        <v>6555.7439999999997</v>
      </c>
    </row>
    <row r="103" spans="2:16" x14ac:dyDescent="0.25">
      <c r="B103" s="288" t="s">
        <v>140</v>
      </c>
      <c r="C103" s="288"/>
      <c r="D103" s="288"/>
      <c r="E103" s="288"/>
      <c r="F103" s="288"/>
      <c r="G103" s="288"/>
      <c r="H103" s="288"/>
      <c r="I103" s="288"/>
      <c r="J103" s="288"/>
      <c r="K103" s="288"/>
      <c r="L103" s="288"/>
      <c r="M103" s="288"/>
      <c r="N103" s="288"/>
      <c r="O103" s="288"/>
      <c r="P103" s="288"/>
    </row>
    <row r="104" spans="2:16" x14ac:dyDescent="0.25">
      <c r="B104" s="213"/>
      <c r="C104" s="215" t="s">
        <v>50</v>
      </c>
      <c r="D104" s="215" t="s">
        <v>51</v>
      </c>
      <c r="E104" s="215" t="s">
        <v>52</v>
      </c>
      <c r="F104" s="215" t="s">
        <v>53</v>
      </c>
      <c r="G104" s="215" t="s">
        <v>54</v>
      </c>
      <c r="H104" s="215" t="s">
        <v>55</v>
      </c>
      <c r="I104" s="215" t="s">
        <v>56</v>
      </c>
      <c r="J104" s="215" t="s">
        <v>57</v>
      </c>
      <c r="K104" s="215" t="s">
        <v>58</v>
      </c>
      <c r="L104" s="215" t="s">
        <v>59</v>
      </c>
      <c r="M104" s="215" t="s">
        <v>60</v>
      </c>
      <c r="N104" s="215" t="s">
        <v>61</v>
      </c>
      <c r="O104" s="220" t="s">
        <v>62</v>
      </c>
      <c r="P104" s="221"/>
    </row>
    <row r="105" spans="2:16" x14ac:dyDescent="0.25">
      <c r="B105" s="214"/>
      <c r="C105" s="216"/>
      <c r="D105" s="216"/>
      <c r="E105" s="216"/>
      <c r="F105" s="216"/>
      <c r="G105" s="216"/>
      <c r="H105" s="216"/>
      <c r="I105" s="216"/>
      <c r="J105" s="216"/>
      <c r="K105" s="216"/>
      <c r="L105" s="216"/>
      <c r="M105" s="216"/>
      <c r="N105" s="216"/>
      <c r="O105" s="58" t="s">
        <v>64</v>
      </c>
      <c r="P105" s="58" t="s">
        <v>65</v>
      </c>
    </row>
    <row r="106" spans="2:16" x14ac:dyDescent="0.25">
      <c r="B106" s="35" t="s">
        <v>77</v>
      </c>
      <c r="C106" s="35">
        <f t="shared" ref="C106:N106" si="51">C97*32%</f>
        <v>1748.1984</v>
      </c>
      <c r="D106" s="35">
        <f t="shared" si="51"/>
        <v>1748.1984</v>
      </c>
      <c r="E106" s="35">
        <f t="shared" si="51"/>
        <v>1748.1984</v>
      </c>
      <c r="F106" s="35">
        <f t="shared" si="51"/>
        <v>1748.1984</v>
      </c>
      <c r="G106" s="35">
        <f t="shared" si="51"/>
        <v>1748.1984</v>
      </c>
      <c r="H106" s="35">
        <f t="shared" si="51"/>
        <v>1748.1984</v>
      </c>
      <c r="I106" s="35">
        <f t="shared" si="51"/>
        <v>1748.1984</v>
      </c>
      <c r="J106" s="35">
        <f t="shared" si="51"/>
        <v>1748.1984</v>
      </c>
      <c r="K106" s="35">
        <f t="shared" si="51"/>
        <v>1748.1984</v>
      </c>
      <c r="L106" s="35">
        <f t="shared" si="51"/>
        <v>1748.1984</v>
      </c>
      <c r="M106" s="35">
        <f t="shared" si="51"/>
        <v>1748.1984</v>
      </c>
      <c r="N106" s="35">
        <f t="shared" si="51"/>
        <v>1748.1984</v>
      </c>
      <c r="O106" s="60" t="s">
        <v>78</v>
      </c>
      <c r="P106" s="61">
        <f>SUM(C106:N106)</f>
        <v>20978.380799999999</v>
      </c>
    </row>
    <row r="107" spans="2:16" x14ac:dyDescent="0.25">
      <c r="B107" s="34" t="s">
        <v>79</v>
      </c>
      <c r="C107" s="34">
        <f t="shared" ref="C107:N107" si="52">C106*20%</f>
        <v>349.63968</v>
      </c>
      <c r="D107" s="34">
        <f t="shared" si="52"/>
        <v>349.63968</v>
      </c>
      <c r="E107" s="34">
        <f t="shared" si="52"/>
        <v>349.63968</v>
      </c>
      <c r="F107" s="34">
        <f t="shared" si="52"/>
        <v>349.63968</v>
      </c>
      <c r="G107" s="34">
        <f t="shared" si="52"/>
        <v>349.63968</v>
      </c>
      <c r="H107" s="34">
        <f t="shared" si="52"/>
        <v>349.63968</v>
      </c>
      <c r="I107" s="34">
        <f t="shared" si="52"/>
        <v>349.63968</v>
      </c>
      <c r="J107" s="34">
        <f t="shared" si="52"/>
        <v>349.63968</v>
      </c>
      <c r="K107" s="34">
        <f t="shared" si="52"/>
        <v>349.63968</v>
      </c>
      <c r="L107" s="34">
        <f t="shared" si="52"/>
        <v>349.63968</v>
      </c>
      <c r="M107" s="34">
        <f t="shared" si="52"/>
        <v>349.63968</v>
      </c>
      <c r="N107" s="34">
        <f t="shared" si="52"/>
        <v>349.63968</v>
      </c>
      <c r="O107" s="34"/>
      <c r="P107" s="34"/>
    </row>
    <row r="108" spans="2:16" x14ac:dyDescent="0.25">
      <c r="B108" s="34" t="s">
        <v>80</v>
      </c>
      <c r="C108" s="34">
        <f t="shared" ref="C108:N108" si="53">C106+C107</f>
        <v>2097.83808</v>
      </c>
      <c r="D108" s="34">
        <f t="shared" si="53"/>
        <v>2097.83808</v>
      </c>
      <c r="E108" s="34">
        <f t="shared" si="53"/>
        <v>2097.83808</v>
      </c>
      <c r="F108" s="34">
        <f t="shared" si="53"/>
        <v>2097.83808</v>
      </c>
      <c r="G108" s="34">
        <f t="shared" si="53"/>
        <v>2097.83808</v>
      </c>
      <c r="H108" s="34">
        <f t="shared" si="53"/>
        <v>2097.83808</v>
      </c>
      <c r="I108" s="34">
        <f t="shared" si="53"/>
        <v>2097.83808</v>
      </c>
      <c r="J108" s="34">
        <f t="shared" si="53"/>
        <v>2097.83808</v>
      </c>
      <c r="K108" s="34">
        <f t="shared" si="53"/>
        <v>2097.83808</v>
      </c>
      <c r="L108" s="34">
        <f t="shared" si="53"/>
        <v>2097.83808</v>
      </c>
      <c r="M108" s="34">
        <f t="shared" si="53"/>
        <v>2097.83808</v>
      </c>
      <c r="N108" s="34">
        <f t="shared" si="53"/>
        <v>2097.83808</v>
      </c>
      <c r="O108" s="34"/>
      <c r="P108" s="34"/>
    </row>
    <row r="109" spans="2:16" x14ac:dyDescent="0.25">
      <c r="B109" s="59" t="s">
        <v>81</v>
      </c>
      <c r="C109" s="59">
        <f t="shared" ref="C109:N109" si="54">C108</f>
        <v>2097.83808</v>
      </c>
      <c r="D109" s="59">
        <f t="shared" si="54"/>
        <v>2097.83808</v>
      </c>
      <c r="E109" s="59">
        <f t="shared" si="54"/>
        <v>2097.83808</v>
      </c>
      <c r="F109" s="59">
        <f t="shared" si="54"/>
        <v>2097.83808</v>
      </c>
      <c r="G109" s="59">
        <f t="shared" si="54"/>
        <v>2097.83808</v>
      </c>
      <c r="H109" s="59">
        <f t="shared" si="54"/>
        <v>2097.83808</v>
      </c>
      <c r="I109" s="59">
        <f t="shared" si="54"/>
        <v>2097.83808</v>
      </c>
      <c r="J109" s="59">
        <f t="shared" si="54"/>
        <v>2097.83808</v>
      </c>
      <c r="K109" s="59">
        <f t="shared" si="54"/>
        <v>2097.83808</v>
      </c>
      <c r="L109" s="59">
        <f t="shared" si="54"/>
        <v>2097.83808</v>
      </c>
      <c r="M109" s="59">
        <f t="shared" si="54"/>
        <v>2097.83808</v>
      </c>
      <c r="N109" s="59">
        <f t="shared" si="54"/>
        <v>2097.83808</v>
      </c>
      <c r="O109" s="60" t="s">
        <v>82</v>
      </c>
      <c r="P109" s="61">
        <v>0</v>
      </c>
    </row>
    <row r="112" spans="2:16" x14ac:dyDescent="0.25">
      <c r="B112" s="288" t="s">
        <v>142</v>
      </c>
      <c r="C112" s="288"/>
      <c r="D112" s="288"/>
      <c r="E112" s="288"/>
      <c r="F112" s="288"/>
      <c r="G112" s="288"/>
      <c r="H112" s="288"/>
      <c r="I112" s="288"/>
      <c r="J112" s="288"/>
      <c r="K112" s="288"/>
      <c r="L112" s="288"/>
      <c r="M112" s="288"/>
      <c r="N112" s="288"/>
      <c r="O112" s="288"/>
      <c r="P112" s="288"/>
    </row>
    <row r="113" spans="2:16" x14ac:dyDescent="0.25">
      <c r="B113" s="213"/>
      <c r="C113" s="215" t="s">
        <v>50</v>
      </c>
      <c r="D113" s="215" t="s">
        <v>51</v>
      </c>
      <c r="E113" s="215" t="s">
        <v>52</v>
      </c>
      <c r="F113" s="215" t="s">
        <v>53</v>
      </c>
      <c r="G113" s="215" t="s">
        <v>54</v>
      </c>
      <c r="H113" s="215" t="s">
        <v>55</v>
      </c>
      <c r="I113" s="215" t="s">
        <v>56</v>
      </c>
      <c r="J113" s="215" t="s">
        <v>57</v>
      </c>
      <c r="K113" s="215" t="s">
        <v>58</v>
      </c>
      <c r="L113" s="215" t="s">
        <v>59</v>
      </c>
      <c r="M113" s="215" t="s">
        <v>60</v>
      </c>
      <c r="N113" s="215" t="s">
        <v>61</v>
      </c>
      <c r="O113" s="220" t="s">
        <v>62</v>
      </c>
      <c r="P113" s="221"/>
    </row>
    <row r="114" spans="2:16" x14ac:dyDescent="0.25">
      <c r="B114" s="214"/>
      <c r="C114" s="216"/>
      <c r="D114" s="216"/>
      <c r="E114" s="216"/>
      <c r="F114" s="216"/>
      <c r="G114" s="216"/>
      <c r="H114" s="216"/>
      <c r="I114" s="216"/>
      <c r="J114" s="216"/>
      <c r="K114" s="216"/>
      <c r="L114" s="216"/>
      <c r="M114" s="216"/>
      <c r="N114" s="216"/>
      <c r="O114" s="58" t="s">
        <v>64</v>
      </c>
      <c r="P114" s="58" t="s">
        <v>65</v>
      </c>
    </row>
    <row r="115" spans="2:16" x14ac:dyDescent="0.25">
      <c r="B115" s="21" t="s">
        <v>84</v>
      </c>
      <c r="C115" s="21">
        <v>7100</v>
      </c>
      <c r="D115" s="21">
        <v>7100</v>
      </c>
      <c r="E115" s="21">
        <v>7100</v>
      </c>
      <c r="F115" s="21">
        <v>7100</v>
      </c>
      <c r="G115" s="21">
        <v>7100</v>
      </c>
      <c r="H115" s="21">
        <v>7100</v>
      </c>
      <c r="I115" s="21">
        <v>7100</v>
      </c>
      <c r="J115" s="21">
        <v>7100</v>
      </c>
      <c r="K115" s="21">
        <v>7100</v>
      </c>
      <c r="L115" s="21">
        <v>7100</v>
      </c>
      <c r="M115" s="21">
        <v>7100</v>
      </c>
      <c r="N115" s="22">
        <v>7100</v>
      </c>
      <c r="O115" s="60" t="s">
        <v>85</v>
      </c>
      <c r="P115" s="61">
        <f>SUM(C115:N115)</f>
        <v>85200</v>
      </c>
    </row>
    <row r="116" spans="2:16" x14ac:dyDescent="0.25">
      <c r="B116" s="31" t="s">
        <v>86</v>
      </c>
      <c r="C116" s="31">
        <f t="shared" ref="C116:N116" si="55">C115*20%</f>
        <v>1420</v>
      </c>
      <c r="D116" s="31">
        <f t="shared" si="55"/>
        <v>1420</v>
      </c>
      <c r="E116" s="31">
        <f t="shared" si="55"/>
        <v>1420</v>
      </c>
      <c r="F116" s="31">
        <f t="shared" si="55"/>
        <v>1420</v>
      </c>
      <c r="G116" s="31">
        <f t="shared" si="55"/>
        <v>1420</v>
      </c>
      <c r="H116" s="31">
        <f t="shared" si="55"/>
        <v>1420</v>
      </c>
      <c r="I116" s="31">
        <f t="shared" si="55"/>
        <v>1420</v>
      </c>
      <c r="J116" s="31">
        <f t="shared" si="55"/>
        <v>1420</v>
      </c>
      <c r="K116" s="31">
        <f t="shared" si="55"/>
        <v>1420</v>
      </c>
      <c r="L116" s="31">
        <f t="shared" si="55"/>
        <v>1420</v>
      </c>
      <c r="M116" s="31">
        <f t="shared" si="55"/>
        <v>1420</v>
      </c>
      <c r="N116" s="32">
        <f t="shared" si="55"/>
        <v>1420</v>
      </c>
      <c r="O116" s="114"/>
      <c r="P116" s="138"/>
    </row>
    <row r="117" spans="2:16" x14ac:dyDescent="0.25">
      <c r="B117" s="34" t="s">
        <v>234</v>
      </c>
      <c r="C117" s="21">
        <f>$P$117/12</f>
        <v>308.03571428571428</v>
      </c>
      <c r="D117" s="21">
        <f t="shared" ref="D117:N117" si="56">$P$117/12</f>
        <v>308.03571428571428</v>
      </c>
      <c r="E117" s="21">
        <f t="shared" si="56"/>
        <v>308.03571428571428</v>
      </c>
      <c r="F117" s="21">
        <f t="shared" si="56"/>
        <v>308.03571428571428</v>
      </c>
      <c r="G117" s="21">
        <f t="shared" si="56"/>
        <v>308.03571428571428</v>
      </c>
      <c r="H117" s="21">
        <f t="shared" si="56"/>
        <v>308.03571428571428</v>
      </c>
      <c r="I117" s="21">
        <f t="shared" si="56"/>
        <v>308.03571428571428</v>
      </c>
      <c r="J117" s="21">
        <f t="shared" si="56"/>
        <v>308.03571428571428</v>
      </c>
      <c r="K117" s="21">
        <f t="shared" si="56"/>
        <v>308.03571428571428</v>
      </c>
      <c r="L117" s="21">
        <f t="shared" si="56"/>
        <v>308.03571428571428</v>
      </c>
      <c r="M117" s="21">
        <f t="shared" si="56"/>
        <v>308.03571428571428</v>
      </c>
      <c r="N117" s="21">
        <f t="shared" si="56"/>
        <v>308.03571428571428</v>
      </c>
      <c r="O117" s="61" t="s">
        <v>224</v>
      </c>
      <c r="P117" s="193">
        <f>Emprunt!S5</f>
        <v>3696.4285714285711</v>
      </c>
    </row>
    <row r="118" spans="2:16" x14ac:dyDescent="0.25">
      <c r="B118" s="34" t="s">
        <v>229</v>
      </c>
      <c r="C118" s="21"/>
      <c r="D118" s="21"/>
      <c r="E118" s="21"/>
      <c r="F118" s="21"/>
      <c r="G118" s="21"/>
      <c r="H118" s="21">
        <f>$P$118/7</f>
        <v>162.91666666666669</v>
      </c>
      <c r="I118" s="21">
        <f t="shared" ref="I118:N118" si="57">$P$118/7</f>
        <v>162.91666666666669</v>
      </c>
      <c r="J118" s="21">
        <f t="shared" si="57"/>
        <v>162.91666666666669</v>
      </c>
      <c r="K118" s="21">
        <f t="shared" si="57"/>
        <v>162.91666666666669</v>
      </c>
      <c r="L118" s="21">
        <f t="shared" si="57"/>
        <v>162.91666666666669</v>
      </c>
      <c r="M118" s="21">
        <f t="shared" si="57"/>
        <v>162.91666666666669</v>
      </c>
      <c r="N118" s="21">
        <f t="shared" si="57"/>
        <v>162.91666666666669</v>
      </c>
      <c r="O118" s="61" t="s">
        <v>230</v>
      </c>
      <c r="P118" s="193">
        <f>Emprunt!S14</f>
        <v>1140.4166666666667</v>
      </c>
    </row>
    <row r="119" spans="2:16" x14ac:dyDescent="0.25">
      <c r="B119" s="21" t="s">
        <v>232</v>
      </c>
      <c r="C119" s="21"/>
      <c r="D119" s="21"/>
      <c r="E119" s="21"/>
      <c r="F119" s="21"/>
      <c r="G119" s="21"/>
      <c r="H119" s="21">
        <f t="shared" ref="H119:N119" si="58">H118*0.2</f>
        <v>32.583333333333336</v>
      </c>
      <c r="I119" s="21">
        <f t="shared" si="58"/>
        <v>32.583333333333336</v>
      </c>
      <c r="J119" s="21">
        <f t="shared" si="58"/>
        <v>32.583333333333336</v>
      </c>
      <c r="K119" s="21">
        <f t="shared" si="58"/>
        <v>32.583333333333336</v>
      </c>
      <c r="L119" s="21">
        <f t="shared" si="58"/>
        <v>32.583333333333336</v>
      </c>
      <c r="M119" s="21">
        <f t="shared" si="58"/>
        <v>32.583333333333336</v>
      </c>
      <c r="N119" s="21">
        <f t="shared" si="58"/>
        <v>32.583333333333336</v>
      </c>
      <c r="O119" s="140"/>
      <c r="P119" s="141"/>
    </row>
    <row r="120" spans="2:16" x14ac:dyDescent="0.25">
      <c r="B120" s="139" t="s">
        <v>87</v>
      </c>
      <c r="C120" s="139">
        <f>SUM(C115:C119)</f>
        <v>8828.0357142857138</v>
      </c>
      <c r="D120" s="139">
        <f t="shared" ref="D120:N120" si="59">SUM(D115:D119)</f>
        <v>8828.0357142857138</v>
      </c>
      <c r="E120" s="139">
        <f t="shared" si="59"/>
        <v>8828.0357142857138</v>
      </c>
      <c r="F120" s="139">
        <f t="shared" si="59"/>
        <v>8828.0357142857138</v>
      </c>
      <c r="G120" s="139">
        <f t="shared" si="59"/>
        <v>8828.0357142857138</v>
      </c>
      <c r="H120" s="139">
        <f t="shared" si="59"/>
        <v>9023.5357142857138</v>
      </c>
      <c r="I120" s="139">
        <f t="shared" si="59"/>
        <v>9023.5357142857138</v>
      </c>
      <c r="J120" s="139">
        <f t="shared" si="59"/>
        <v>9023.5357142857138</v>
      </c>
      <c r="K120" s="139">
        <f t="shared" si="59"/>
        <v>9023.5357142857138</v>
      </c>
      <c r="L120" s="139">
        <f t="shared" si="59"/>
        <v>9023.5357142857138</v>
      </c>
      <c r="M120" s="139">
        <f t="shared" si="59"/>
        <v>9023.5357142857138</v>
      </c>
      <c r="N120" s="139">
        <f t="shared" si="59"/>
        <v>9023.5357142857138</v>
      </c>
      <c r="O120" s="37"/>
      <c r="P120" s="37"/>
    </row>
    <row r="121" spans="2:16" x14ac:dyDescent="0.25">
      <c r="B121" s="59" t="s">
        <v>81</v>
      </c>
      <c r="C121" s="59">
        <f>C120</f>
        <v>8828.0357142857138</v>
      </c>
      <c r="D121" s="59">
        <f t="shared" ref="D121:N121" si="60">D120</f>
        <v>8828.0357142857138</v>
      </c>
      <c r="E121" s="59">
        <f t="shared" si="60"/>
        <v>8828.0357142857138</v>
      </c>
      <c r="F121" s="59">
        <f t="shared" si="60"/>
        <v>8828.0357142857138</v>
      </c>
      <c r="G121" s="59">
        <f t="shared" si="60"/>
        <v>8828.0357142857138</v>
      </c>
      <c r="H121" s="59">
        <f t="shared" si="60"/>
        <v>9023.5357142857138</v>
      </c>
      <c r="I121" s="59">
        <f t="shared" si="60"/>
        <v>9023.5357142857138</v>
      </c>
      <c r="J121" s="59">
        <f t="shared" si="60"/>
        <v>9023.5357142857138</v>
      </c>
      <c r="K121" s="59">
        <f t="shared" si="60"/>
        <v>9023.5357142857138</v>
      </c>
      <c r="L121" s="59">
        <f t="shared" si="60"/>
        <v>9023.5357142857138</v>
      </c>
      <c r="M121" s="59">
        <f t="shared" si="60"/>
        <v>9023.5357142857138</v>
      </c>
      <c r="N121" s="59">
        <f t="shared" si="60"/>
        <v>9023.5357142857138</v>
      </c>
      <c r="O121" s="47"/>
      <c r="P121" s="34"/>
    </row>
    <row r="122" spans="2:16" x14ac:dyDescent="0.25">
      <c r="B122" s="28" t="s">
        <v>89</v>
      </c>
      <c r="C122" s="21"/>
      <c r="D122" s="21"/>
      <c r="E122" s="21"/>
      <c r="F122" s="21"/>
      <c r="G122" s="21"/>
      <c r="H122" s="21"/>
      <c r="I122" s="21"/>
      <c r="J122" s="21"/>
      <c r="K122" s="21"/>
      <c r="L122" s="21"/>
      <c r="M122" s="21"/>
      <c r="N122" s="22">
        <v>7500</v>
      </c>
      <c r="O122" s="47"/>
      <c r="P122" s="48"/>
    </row>
    <row r="123" spans="2:16" x14ac:dyDescent="0.25">
      <c r="B123" s="59" t="s">
        <v>94</v>
      </c>
      <c r="C123" s="59">
        <f t="shared" ref="C123:N123" si="61">C122</f>
        <v>0</v>
      </c>
      <c r="D123" s="59">
        <f t="shared" si="61"/>
        <v>0</v>
      </c>
      <c r="E123" s="59">
        <f t="shared" si="61"/>
        <v>0</v>
      </c>
      <c r="F123" s="59">
        <f t="shared" si="61"/>
        <v>0</v>
      </c>
      <c r="G123" s="59">
        <f t="shared" si="61"/>
        <v>0</v>
      </c>
      <c r="H123" s="59">
        <f t="shared" si="61"/>
        <v>0</v>
      </c>
      <c r="I123" s="59">
        <f t="shared" si="61"/>
        <v>0</v>
      </c>
      <c r="J123" s="59">
        <f t="shared" si="61"/>
        <v>0</v>
      </c>
      <c r="K123" s="59">
        <f t="shared" si="61"/>
        <v>0</v>
      </c>
      <c r="L123" s="59">
        <f t="shared" si="61"/>
        <v>0</v>
      </c>
      <c r="M123" s="59">
        <f t="shared" si="61"/>
        <v>0</v>
      </c>
      <c r="N123" s="59">
        <f t="shared" si="61"/>
        <v>7500</v>
      </c>
      <c r="O123" s="60" t="s">
        <v>93</v>
      </c>
      <c r="P123" s="61">
        <f>SUM(C123:N123)</f>
        <v>7500</v>
      </c>
    </row>
    <row r="124" spans="2:16" x14ac:dyDescent="0.25">
      <c r="B124" s="21" t="s">
        <v>95</v>
      </c>
      <c r="C124" s="21">
        <f t="shared" ref="C124:N124" si="62">307500/12</f>
        <v>25625</v>
      </c>
      <c r="D124" s="21">
        <f t="shared" si="62"/>
        <v>25625</v>
      </c>
      <c r="E124" s="21">
        <f t="shared" si="62"/>
        <v>25625</v>
      </c>
      <c r="F124" s="21">
        <f t="shared" si="62"/>
        <v>25625</v>
      </c>
      <c r="G124" s="21">
        <f t="shared" si="62"/>
        <v>25625</v>
      </c>
      <c r="H124" s="21">
        <f t="shared" si="62"/>
        <v>25625</v>
      </c>
      <c r="I124" s="21">
        <f t="shared" si="62"/>
        <v>25625</v>
      </c>
      <c r="J124" s="21">
        <f t="shared" si="62"/>
        <v>25625</v>
      </c>
      <c r="K124" s="21">
        <f t="shared" si="62"/>
        <v>25625</v>
      </c>
      <c r="L124" s="21">
        <f t="shared" si="62"/>
        <v>25625</v>
      </c>
      <c r="M124" s="21">
        <f t="shared" si="62"/>
        <v>25625</v>
      </c>
      <c r="N124" s="22">
        <f t="shared" si="62"/>
        <v>25625</v>
      </c>
      <c r="O124" s="47"/>
      <c r="P124" s="48"/>
    </row>
    <row r="125" spans="2:16" x14ac:dyDescent="0.25">
      <c r="B125" s="59" t="s">
        <v>96</v>
      </c>
      <c r="C125" s="59">
        <f t="shared" ref="C125:N125" si="63">C124</f>
        <v>25625</v>
      </c>
      <c r="D125" s="59">
        <f t="shared" si="63"/>
        <v>25625</v>
      </c>
      <c r="E125" s="59">
        <f t="shared" si="63"/>
        <v>25625</v>
      </c>
      <c r="F125" s="59">
        <f t="shared" si="63"/>
        <v>25625</v>
      </c>
      <c r="G125" s="59">
        <f t="shared" si="63"/>
        <v>25625</v>
      </c>
      <c r="H125" s="59">
        <f t="shared" si="63"/>
        <v>25625</v>
      </c>
      <c r="I125" s="59">
        <f t="shared" si="63"/>
        <v>25625</v>
      </c>
      <c r="J125" s="59">
        <f t="shared" si="63"/>
        <v>25625</v>
      </c>
      <c r="K125" s="59">
        <f t="shared" si="63"/>
        <v>25625</v>
      </c>
      <c r="L125" s="59">
        <f t="shared" si="63"/>
        <v>25625</v>
      </c>
      <c r="M125" s="59">
        <f t="shared" si="63"/>
        <v>25625</v>
      </c>
      <c r="N125" s="59">
        <f t="shared" si="63"/>
        <v>25625</v>
      </c>
      <c r="O125" s="60" t="s">
        <v>97</v>
      </c>
      <c r="P125" s="61">
        <f>SUM(C125:N125)</f>
        <v>307500</v>
      </c>
    </row>
    <row r="126" spans="2:16" x14ac:dyDescent="0.25">
      <c r="B126" s="21" t="s">
        <v>21</v>
      </c>
      <c r="C126" s="21">
        <f t="shared" ref="C126:N126" si="64">C124*0.4</f>
        <v>10250</v>
      </c>
      <c r="D126" s="21">
        <f t="shared" si="64"/>
        <v>10250</v>
      </c>
      <c r="E126" s="21">
        <f t="shared" si="64"/>
        <v>10250</v>
      </c>
      <c r="F126" s="21">
        <f t="shared" si="64"/>
        <v>10250</v>
      </c>
      <c r="G126" s="21">
        <f t="shared" si="64"/>
        <v>10250</v>
      </c>
      <c r="H126" s="21">
        <f t="shared" si="64"/>
        <v>10250</v>
      </c>
      <c r="I126" s="21">
        <f t="shared" si="64"/>
        <v>10250</v>
      </c>
      <c r="J126" s="21">
        <f t="shared" si="64"/>
        <v>10250</v>
      </c>
      <c r="K126" s="21">
        <f t="shared" si="64"/>
        <v>10250</v>
      </c>
      <c r="L126" s="21">
        <f t="shared" si="64"/>
        <v>10250</v>
      </c>
      <c r="M126" s="21">
        <f t="shared" si="64"/>
        <v>10250</v>
      </c>
      <c r="N126" s="22">
        <f t="shared" si="64"/>
        <v>10250</v>
      </c>
      <c r="O126" s="60" t="s">
        <v>98</v>
      </c>
      <c r="P126" s="61">
        <f>SUM(C126:N126)</f>
        <v>123000</v>
      </c>
    </row>
    <row r="127" spans="2:16" x14ac:dyDescent="0.25">
      <c r="B127" s="59" t="s">
        <v>99</v>
      </c>
      <c r="C127" s="59">
        <f>'Budget Prev 3 années SANS PRECO'!P121</f>
        <v>10250</v>
      </c>
      <c r="D127" s="59">
        <f t="shared" ref="D127:N127" si="65">C126</f>
        <v>10250</v>
      </c>
      <c r="E127" s="59">
        <f t="shared" si="65"/>
        <v>10250</v>
      </c>
      <c r="F127" s="59">
        <f t="shared" si="65"/>
        <v>10250</v>
      </c>
      <c r="G127" s="59">
        <f t="shared" si="65"/>
        <v>10250</v>
      </c>
      <c r="H127" s="59">
        <f t="shared" si="65"/>
        <v>10250</v>
      </c>
      <c r="I127" s="59">
        <f t="shared" si="65"/>
        <v>10250</v>
      </c>
      <c r="J127" s="59">
        <f t="shared" si="65"/>
        <v>10250</v>
      </c>
      <c r="K127" s="59">
        <f t="shared" si="65"/>
        <v>10250</v>
      </c>
      <c r="L127" s="59">
        <f t="shared" si="65"/>
        <v>10250</v>
      </c>
      <c r="M127" s="59">
        <f t="shared" si="65"/>
        <v>10250</v>
      </c>
      <c r="N127" s="59">
        <f t="shared" si="65"/>
        <v>10250</v>
      </c>
      <c r="O127" s="60" t="s">
        <v>100</v>
      </c>
      <c r="P127" s="61">
        <f>N126</f>
        <v>10250</v>
      </c>
    </row>
    <row r="130" spans="2:16" x14ac:dyDescent="0.25">
      <c r="B130" s="288" t="s">
        <v>147</v>
      </c>
      <c r="C130" s="288"/>
      <c r="D130" s="288"/>
      <c r="E130" s="288"/>
      <c r="F130" s="288"/>
      <c r="G130" s="288"/>
      <c r="H130" s="288"/>
      <c r="I130" s="288"/>
      <c r="J130" s="288"/>
      <c r="K130" s="288"/>
      <c r="L130" s="288"/>
      <c r="M130" s="288"/>
      <c r="N130" s="288"/>
      <c r="O130" s="288"/>
      <c r="P130" s="288"/>
    </row>
    <row r="131" spans="2:16" x14ac:dyDescent="0.25">
      <c r="B131" s="213"/>
      <c r="C131" s="215" t="s">
        <v>50</v>
      </c>
      <c r="D131" s="215" t="s">
        <v>51</v>
      </c>
      <c r="E131" s="215" t="s">
        <v>52</v>
      </c>
      <c r="F131" s="215" t="s">
        <v>53</v>
      </c>
      <c r="G131" s="215" t="s">
        <v>54</v>
      </c>
      <c r="H131" s="215" t="s">
        <v>55</v>
      </c>
      <c r="I131" s="215" t="s">
        <v>56</v>
      </c>
      <c r="J131" s="215" t="s">
        <v>57</v>
      </c>
      <c r="K131" s="215" t="s">
        <v>58</v>
      </c>
      <c r="L131" s="215" t="s">
        <v>59</v>
      </c>
      <c r="M131" s="215" t="s">
        <v>60</v>
      </c>
      <c r="N131" s="215" t="s">
        <v>61</v>
      </c>
      <c r="O131" s="220" t="s">
        <v>62</v>
      </c>
      <c r="P131" s="221"/>
    </row>
    <row r="132" spans="2:16" x14ac:dyDescent="0.25">
      <c r="B132" s="214"/>
      <c r="C132" s="216"/>
      <c r="D132" s="216"/>
      <c r="E132" s="216"/>
      <c r="F132" s="216"/>
      <c r="G132" s="216"/>
      <c r="H132" s="216"/>
      <c r="I132" s="216"/>
      <c r="J132" s="216"/>
      <c r="K132" s="216"/>
      <c r="L132" s="216"/>
      <c r="M132" s="216"/>
      <c r="N132" s="216"/>
      <c r="O132" s="58" t="s">
        <v>64</v>
      </c>
      <c r="P132" s="58" t="s">
        <v>65</v>
      </c>
    </row>
    <row r="133" spans="2:16" x14ac:dyDescent="0.25">
      <c r="B133" s="46" t="s">
        <v>102</v>
      </c>
      <c r="C133" s="35"/>
      <c r="D133" s="35"/>
      <c r="E133" s="35"/>
      <c r="F133" s="35"/>
      <c r="G133" s="35"/>
      <c r="H133" s="35"/>
      <c r="I133" s="35"/>
      <c r="J133" s="35"/>
      <c r="K133" s="35"/>
      <c r="L133" s="35">
        <v>8200</v>
      </c>
      <c r="M133" s="35"/>
      <c r="N133" s="35"/>
      <c r="O133" s="60" t="s">
        <v>103</v>
      </c>
      <c r="P133" s="61">
        <f>SUM(C133:N133)</f>
        <v>8200</v>
      </c>
    </row>
    <row r="134" spans="2:16" x14ac:dyDescent="0.25">
      <c r="B134" s="34" t="s">
        <v>105</v>
      </c>
      <c r="C134" s="34"/>
      <c r="D134" s="34"/>
      <c r="E134" s="34"/>
      <c r="F134" s="34"/>
      <c r="G134" s="34"/>
      <c r="H134" s="34"/>
      <c r="I134" s="34"/>
      <c r="J134" s="34"/>
      <c r="K134" s="34"/>
      <c r="L134" s="34">
        <v>8200</v>
      </c>
      <c r="M134" s="34"/>
      <c r="N134" s="34"/>
      <c r="O134" s="34"/>
      <c r="P134" s="34"/>
    </row>
    <row r="135" spans="2:16" x14ac:dyDescent="0.25">
      <c r="B135" s="34" t="s">
        <v>106</v>
      </c>
      <c r="C135" s="34">
        <f>Informations!$D14/12</f>
        <v>233.33333333333337</v>
      </c>
      <c r="D135" s="34">
        <f>Informations!$D14/12</f>
        <v>233.33333333333337</v>
      </c>
      <c r="E135" s="34">
        <f>Informations!$D14/12</f>
        <v>233.33333333333337</v>
      </c>
      <c r="F135" s="34">
        <f>Informations!$D14/12</f>
        <v>233.33333333333337</v>
      </c>
      <c r="G135" s="34">
        <f>Informations!$D14/12</f>
        <v>233.33333333333337</v>
      </c>
      <c r="H135" s="34">
        <f>Informations!$D14/12</f>
        <v>233.33333333333337</v>
      </c>
      <c r="I135" s="34">
        <f>Informations!$D14/12</f>
        <v>233.33333333333337</v>
      </c>
      <c r="J135" s="34">
        <f>Informations!$D14/12</f>
        <v>233.33333333333337</v>
      </c>
      <c r="K135" s="34">
        <f>Informations!$D14/12</f>
        <v>233.33333333333337</v>
      </c>
      <c r="L135" s="34">
        <f>Informations!$D14/12</f>
        <v>233.33333333333337</v>
      </c>
      <c r="M135" s="34">
        <f>Informations!$D14/12</f>
        <v>233.33333333333337</v>
      </c>
      <c r="N135" s="34">
        <f>Informations!$D14/12</f>
        <v>233.33333333333337</v>
      </c>
      <c r="O135" s="60" t="s">
        <v>107</v>
      </c>
      <c r="P135" s="61">
        <f>SUM(C135:N135)</f>
        <v>2800.0000000000014</v>
      </c>
    </row>
    <row r="136" spans="2:16" x14ac:dyDescent="0.25">
      <c r="B136" s="34" t="s">
        <v>108</v>
      </c>
      <c r="C136" s="34">
        <f t="shared" ref="C136:N136" si="66">$P$43/12</f>
        <v>3333.3333333333335</v>
      </c>
      <c r="D136" s="34">
        <f t="shared" si="66"/>
        <v>3333.3333333333335</v>
      </c>
      <c r="E136" s="34">
        <f t="shared" si="66"/>
        <v>3333.3333333333335</v>
      </c>
      <c r="F136" s="34">
        <f t="shared" si="66"/>
        <v>3333.3333333333335</v>
      </c>
      <c r="G136" s="34">
        <f t="shared" si="66"/>
        <v>3333.3333333333335</v>
      </c>
      <c r="H136" s="34">
        <f t="shared" si="66"/>
        <v>3333.3333333333335</v>
      </c>
      <c r="I136" s="34">
        <f t="shared" si="66"/>
        <v>3333.3333333333335</v>
      </c>
      <c r="J136" s="34">
        <f t="shared" si="66"/>
        <v>3333.3333333333335</v>
      </c>
      <c r="K136" s="34">
        <f t="shared" si="66"/>
        <v>3333.3333333333335</v>
      </c>
      <c r="L136" s="34">
        <f t="shared" si="66"/>
        <v>3333.3333333333335</v>
      </c>
      <c r="M136" s="34">
        <f t="shared" si="66"/>
        <v>3333.3333333333335</v>
      </c>
      <c r="N136" s="34">
        <f t="shared" si="66"/>
        <v>3333.3333333333335</v>
      </c>
      <c r="O136" s="60" t="s">
        <v>109</v>
      </c>
      <c r="P136" s="61">
        <f>Informations!E14</f>
        <v>40000</v>
      </c>
    </row>
    <row r="137" spans="2:16" x14ac:dyDescent="0.25">
      <c r="B137" s="59" t="s">
        <v>71</v>
      </c>
      <c r="C137" s="59">
        <f t="shared" ref="C137:N137" si="67">C135+C136</f>
        <v>3566.666666666667</v>
      </c>
      <c r="D137" s="59">
        <f t="shared" si="67"/>
        <v>3566.666666666667</v>
      </c>
      <c r="E137" s="59">
        <f t="shared" si="67"/>
        <v>3566.666666666667</v>
      </c>
      <c r="F137" s="59">
        <f t="shared" si="67"/>
        <v>3566.666666666667</v>
      </c>
      <c r="G137" s="59">
        <f t="shared" si="67"/>
        <v>3566.666666666667</v>
      </c>
      <c r="H137" s="59">
        <f t="shared" si="67"/>
        <v>3566.666666666667</v>
      </c>
      <c r="I137" s="59">
        <f t="shared" si="67"/>
        <v>3566.666666666667</v>
      </c>
      <c r="J137" s="59">
        <f t="shared" si="67"/>
        <v>3566.666666666667</v>
      </c>
      <c r="K137" s="59">
        <f t="shared" si="67"/>
        <v>3566.666666666667</v>
      </c>
      <c r="L137" s="59">
        <f t="shared" si="67"/>
        <v>3566.666666666667</v>
      </c>
      <c r="M137" s="59">
        <f t="shared" si="67"/>
        <v>3566.666666666667</v>
      </c>
      <c r="N137" s="59">
        <f t="shared" si="67"/>
        <v>3566.666666666667</v>
      </c>
      <c r="O137" s="38"/>
      <c r="P137" s="38"/>
    </row>
    <row r="140" spans="2:16" x14ac:dyDescent="0.25">
      <c r="B140" s="288" t="s">
        <v>148</v>
      </c>
      <c r="C140" s="288"/>
      <c r="D140" s="288"/>
      <c r="E140" s="288"/>
      <c r="F140" s="288"/>
      <c r="G140" s="288"/>
      <c r="H140" s="288"/>
      <c r="I140" s="288"/>
      <c r="J140" s="288"/>
      <c r="K140" s="288"/>
      <c r="L140" s="288"/>
      <c r="M140" s="288"/>
      <c r="N140" s="288"/>
      <c r="O140" s="288"/>
      <c r="P140" s="288"/>
    </row>
    <row r="141" spans="2:16" x14ac:dyDescent="0.25">
      <c r="B141" s="213"/>
      <c r="C141" s="215" t="s">
        <v>50</v>
      </c>
      <c r="D141" s="215" t="s">
        <v>51</v>
      </c>
      <c r="E141" s="215" t="s">
        <v>52</v>
      </c>
      <c r="F141" s="215" t="s">
        <v>53</v>
      </c>
      <c r="G141" s="215" t="s">
        <v>54</v>
      </c>
      <c r="H141" s="215" t="s">
        <v>55</v>
      </c>
      <c r="I141" s="215" t="s">
        <v>56</v>
      </c>
      <c r="J141" s="215" t="s">
        <v>57</v>
      </c>
      <c r="K141" s="215" t="s">
        <v>58</v>
      </c>
      <c r="L141" s="215" t="s">
        <v>59</v>
      </c>
      <c r="M141" s="215" t="s">
        <v>60</v>
      </c>
      <c r="N141" s="215" t="s">
        <v>61</v>
      </c>
      <c r="O141" s="220" t="s">
        <v>62</v>
      </c>
      <c r="P141" s="221"/>
    </row>
    <row r="142" spans="2:16" x14ac:dyDescent="0.25">
      <c r="B142" s="214"/>
      <c r="C142" s="216"/>
      <c r="D142" s="216"/>
      <c r="E142" s="216"/>
      <c r="F142" s="216"/>
      <c r="G142" s="216"/>
      <c r="H142" s="216"/>
      <c r="I142" s="216"/>
      <c r="J142" s="216"/>
      <c r="K142" s="216"/>
      <c r="L142" s="216"/>
      <c r="M142" s="216"/>
      <c r="N142" s="216"/>
      <c r="O142" s="58" t="s">
        <v>64</v>
      </c>
      <c r="P142" s="58" t="s">
        <v>65</v>
      </c>
    </row>
    <row r="143" spans="2:16" x14ac:dyDescent="0.25">
      <c r="B143" s="35" t="s">
        <v>111</v>
      </c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5"/>
      <c r="N143" s="35"/>
      <c r="O143" s="60" t="s">
        <v>112</v>
      </c>
      <c r="P143" s="61">
        <f>SUM(C143:N143)</f>
        <v>0</v>
      </c>
    </row>
    <row r="144" spans="2:16" x14ac:dyDescent="0.25">
      <c r="B144" s="34" t="s">
        <v>113</v>
      </c>
      <c r="C144" s="34">
        <f t="shared" ref="C144:N144" si="68">C143*20%</f>
        <v>0</v>
      </c>
      <c r="D144" s="34">
        <f t="shared" si="68"/>
        <v>0</v>
      </c>
      <c r="E144" s="34">
        <f t="shared" si="68"/>
        <v>0</v>
      </c>
      <c r="F144" s="34">
        <f t="shared" si="68"/>
        <v>0</v>
      </c>
      <c r="G144" s="34">
        <f t="shared" si="68"/>
        <v>0</v>
      </c>
      <c r="H144" s="34">
        <f t="shared" si="68"/>
        <v>0</v>
      </c>
      <c r="I144" s="34">
        <f t="shared" si="68"/>
        <v>0</v>
      </c>
      <c r="J144" s="34">
        <f t="shared" si="68"/>
        <v>0</v>
      </c>
      <c r="K144" s="34">
        <f t="shared" si="68"/>
        <v>0</v>
      </c>
      <c r="L144" s="34">
        <f t="shared" si="68"/>
        <v>0</v>
      </c>
      <c r="M144" s="34">
        <f t="shared" si="68"/>
        <v>0</v>
      </c>
      <c r="N144" s="34">
        <f t="shared" si="68"/>
        <v>0</v>
      </c>
      <c r="O144" s="34"/>
      <c r="P144" s="34"/>
    </row>
    <row r="145" spans="2:31" x14ac:dyDescent="0.25">
      <c r="B145" s="34" t="s">
        <v>114</v>
      </c>
      <c r="C145" s="34">
        <f t="shared" ref="C145:N145" si="69">C143+C144</f>
        <v>0</v>
      </c>
      <c r="D145" s="34">
        <f t="shared" si="69"/>
        <v>0</v>
      </c>
      <c r="E145" s="34">
        <f t="shared" si="69"/>
        <v>0</v>
      </c>
      <c r="F145" s="34">
        <f t="shared" si="69"/>
        <v>0</v>
      </c>
      <c r="G145" s="34">
        <f t="shared" si="69"/>
        <v>0</v>
      </c>
      <c r="H145" s="34">
        <f t="shared" si="69"/>
        <v>0</v>
      </c>
      <c r="I145" s="34">
        <f t="shared" si="69"/>
        <v>0</v>
      </c>
      <c r="J145" s="34">
        <f t="shared" si="69"/>
        <v>0</v>
      </c>
      <c r="K145" s="34">
        <f t="shared" si="69"/>
        <v>0</v>
      </c>
      <c r="L145" s="34">
        <f t="shared" si="69"/>
        <v>0</v>
      </c>
      <c r="M145" s="34">
        <f t="shared" si="69"/>
        <v>0</v>
      </c>
      <c r="N145" s="34">
        <f t="shared" si="69"/>
        <v>0</v>
      </c>
      <c r="O145" s="34"/>
      <c r="P145" s="34"/>
    </row>
    <row r="146" spans="2:31" x14ac:dyDescent="0.25">
      <c r="B146" s="59" t="s">
        <v>81</v>
      </c>
      <c r="C146" s="59">
        <f t="shared" ref="C146:N146" si="70">C145</f>
        <v>0</v>
      </c>
      <c r="D146" s="59">
        <f t="shared" si="70"/>
        <v>0</v>
      </c>
      <c r="E146" s="59">
        <f t="shared" si="70"/>
        <v>0</v>
      </c>
      <c r="F146" s="59">
        <f t="shared" si="70"/>
        <v>0</v>
      </c>
      <c r="G146" s="59">
        <f t="shared" si="70"/>
        <v>0</v>
      </c>
      <c r="H146" s="59">
        <f t="shared" si="70"/>
        <v>0</v>
      </c>
      <c r="I146" s="59">
        <f t="shared" si="70"/>
        <v>0</v>
      </c>
      <c r="J146" s="59">
        <f t="shared" si="70"/>
        <v>0</v>
      </c>
      <c r="K146" s="59">
        <f t="shared" si="70"/>
        <v>0</v>
      </c>
      <c r="L146" s="59">
        <f t="shared" si="70"/>
        <v>0</v>
      </c>
      <c r="M146" s="59">
        <f t="shared" si="70"/>
        <v>0</v>
      </c>
      <c r="N146" s="59">
        <f t="shared" si="70"/>
        <v>0</v>
      </c>
      <c r="O146" s="60" t="s">
        <v>220</v>
      </c>
      <c r="P146" s="61">
        <v>0</v>
      </c>
    </row>
    <row r="147" spans="2:31" x14ac:dyDescent="0.25">
      <c r="C147" s="20" t="s">
        <v>149</v>
      </c>
    </row>
    <row r="148" spans="2:31" x14ac:dyDescent="0.25">
      <c r="S148" s="283" t="s">
        <v>203</v>
      </c>
      <c r="T148" s="283" t="s">
        <v>50</v>
      </c>
      <c r="U148" s="283" t="s">
        <v>51</v>
      </c>
      <c r="V148" s="283" t="s">
        <v>52</v>
      </c>
      <c r="W148" s="283" t="s">
        <v>53</v>
      </c>
      <c r="X148" s="283" t="s">
        <v>54</v>
      </c>
      <c r="Y148" s="283" t="s">
        <v>55</v>
      </c>
      <c r="Z148" s="283" t="s">
        <v>56</v>
      </c>
      <c r="AA148" s="283" t="s">
        <v>57</v>
      </c>
      <c r="AB148" s="283" t="s">
        <v>58</v>
      </c>
      <c r="AC148" s="283" t="s">
        <v>59</v>
      </c>
      <c r="AD148" s="283" t="s">
        <v>60</v>
      </c>
      <c r="AE148" s="283" t="s">
        <v>61</v>
      </c>
    </row>
    <row r="149" spans="2:31" x14ac:dyDescent="0.25">
      <c r="B149" s="288" t="s">
        <v>150</v>
      </c>
      <c r="C149" s="288"/>
      <c r="D149" s="288"/>
      <c r="E149" s="288"/>
      <c r="F149" s="288"/>
      <c r="G149" s="288"/>
      <c r="H149" s="288"/>
      <c r="I149" s="288"/>
      <c r="J149" s="288"/>
      <c r="K149" s="288"/>
      <c r="L149" s="288"/>
      <c r="M149" s="288"/>
      <c r="N149" s="288"/>
      <c r="O149" s="288"/>
      <c r="P149" s="288"/>
      <c r="S149" s="283"/>
      <c r="T149" s="283"/>
      <c r="U149" s="283"/>
      <c r="V149" s="283"/>
      <c r="W149" s="283"/>
      <c r="X149" s="283"/>
      <c r="Y149" s="283"/>
      <c r="Z149" s="283"/>
      <c r="AA149" s="283"/>
      <c r="AB149" s="283"/>
      <c r="AC149" s="283"/>
      <c r="AD149" s="283"/>
      <c r="AE149" s="283"/>
    </row>
    <row r="150" spans="2:31" x14ac:dyDescent="0.25">
      <c r="B150" s="213"/>
      <c r="C150" s="215" t="s">
        <v>50</v>
      </c>
      <c r="D150" s="215" t="s">
        <v>51</v>
      </c>
      <c r="E150" s="215" t="s">
        <v>52</v>
      </c>
      <c r="F150" s="215" t="s">
        <v>53</v>
      </c>
      <c r="G150" s="215" t="s">
        <v>54</v>
      </c>
      <c r="H150" s="215" t="s">
        <v>55</v>
      </c>
      <c r="I150" s="215" t="s">
        <v>56</v>
      </c>
      <c r="J150" s="215" t="s">
        <v>57</v>
      </c>
      <c r="K150" s="215" t="s">
        <v>58</v>
      </c>
      <c r="L150" s="215" t="s">
        <v>59</v>
      </c>
      <c r="M150" s="215" t="s">
        <v>60</v>
      </c>
      <c r="N150" s="215" t="s">
        <v>61</v>
      </c>
      <c r="O150" s="220" t="s">
        <v>62</v>
      </c>
      <c r="P150" s="221"/>
      <c r="S150" s="59" t="s">
        <v>204</v>
      </c>
      <c r="T150" s="59">
        <f t="shared" ref="T150:AE150" si="71">C166</f>
        <v>6364.8</v>
      </c>
      <c r="U150" s="59">
        <f t="shared" si="71"/>
        <v>6555.7439999999997</v>
      </c>
      <c r="V150" s="59">
        <f t="shared" si="71"/>
        <v>6555.7439999999997</v>
      </c>
      <c r="W150" s="59">
        <f t="shared" si="71"/>
        <v>6555.7439999999997</v>
      </c>
      <c r="X150" s="59">
        <f t="shared" si="71"/>
        <v>6555.7439999999997</v>
      </c>
      <c r="Y150" s="59">
        <f t="shared" si="71"/>
        <v>6555.7439999999997</v>
      </c>
      <c r="Z150" s="59">
        <f t="shared" si="71"/>
        <v>6555.7439999999997</v>
      </c>
      <c r="AA150" s="59">
        <f t="shared" si="71"/>
        <v>6555.7439999999997</v>
      </c>
      <c r="AB150" s="59">
        <f t="shared" si="71"/>
        <v>6555.7439999999997</v>
      </c>
      <c r="AC150" s="59">
        <f t="shared" si="71"/>
        <v>6555.7439999999997</v>
      </c>
      <c r="AD150" s="59">
        <f t="shared" si="71"/>
        <v>6555.7439999999997</v>
      </c>
      <c r="AE150" s="59">
        <f t="shared" si="71"/>
        <v>6555.7439999999997</v>
      </c>
    </row>
    <row r="151" spans="2:31" x14ac:dyDescent="0.25">
      <c r="B151" s="214"/>
      <c r="C151" s="216"/>
      <c r="D151" s="216"/>
      <c r="E151" s="216"/>
      <c r="F151" s="216"/>
      <c r="G151" s="216"/>
      <c r="H151" s="216"/>
      <c r="I151" s="216"/>
      <c r="J151" s="216"/>
      <c r="K151" s="216"/>
      <c r="L151" s="216"/>
      <c r="M151" s="216"/>
      <c r="N151" s="216"/>
      <c r="O151" s="58" t="s">
        <v>64</v>
      </c>
      <c r="P151" s="58" t="s">
        <v>65</v>
      </c>
      <c r="S151" s="34" t="s">
        <v>205</v>
      </c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4"/>
      <c r="AE151" s="34"/>
    </row>
    <row r="152" spans="2:31" x14ac:dyDescent="0.25">
      <c r="B152" s="59" t="s">
        <v>68</v>
      </c>
      <c r="C152" s="59">
        <f t="shared" ref="C152:N152" si="72">C98</f>
        <v>1092.624</v>
      </c>
      <c r="D152" s="59">
        <f t="shared" si="72"/>
        <v>1092.624</v>
      </c>
      <c r="E152" s="59">
        <f t="shared" si="72"/>
        <v>1092.624</v>
      </c>
      <c r="F152" s="59">
        <f t="shared" si="72"/>
        <v>1092.624</v>
      </c>
      <c r="G152" s="59">
        <f t="shared" si="72"/>
        <v>1092.624</v>
      </c>
      <c r="H152" s="59">
        <f t="shared" si="72"/>
        <v>1092.624</v>
      </c>
      <c r="I152" s="59">
        <f t="shared" si="72"/>
        <v>1092.624</v>
      </c>
      <c r="J152" s="59">
        <f t="shared" si="72"/>
        <v>1092.624</v>
      </c>
      <c r="K152" s="59">
        <f t="shared" si="72"/>
        <v>1092.624</v>
      </c>
      <c r="L152" s="59">
        <f t="shared" si="72"/>
        <v>1092.624</v>
      </c>
      <c r="M152" s="59">
        <f t="shared" si="72"/>
        <v>1092.624</v>
      </c>
      <c r="N152" s="59">
        <f t="shared" si="72"/>
        <v>1092.624</v>
      </c>
      <c r="O152" s="34"/>
      <c r="P152" s="34"/>
      <c r="S152" s="34" t="s">
        <v>206</v>
      </c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4"/>
      <c r="AE152" s="34"/>
    </row>
    <row r="153" spans="2:31" x14ac:dyDescent="0.25">
      <c r="B153" s="34" t="s">
        <v>79</v>
      </c>
      <c r="C153" s="34">
        <f t="shared" ref="C153:N153" si="73">C107</f>
        <v>349.63968</v>
      </c>
      <c r="D153" s="34">
        <f t="shared" si="73"/>
        <v>349.63968</v>
      </c>
      <c r="E153" s="34">
        <f t="shared" si="73"/>
        <v>349.63968</v>
      </c>
      <c r="F153" s="34">
        <f t="shared" si="73"/>
        <v>349.63968</v>
      </c>
      <c r="G153" s="34">
        <f t="shared" si="73"/>
        <v>349.63968</v>
      </c>
      <c r="H153" s="34">
        <f t="shared" si="73"/>
        <v>349.63968</v>
      </c>
      <c r="I153" s="34">
        <f t="shared" si="73"/>
        <v>349.63968</v>
      </c>
      <c r="J153" s="34">
        <f t="shared" si="73"/>
        <v>349.63968</v>
      </c>
      <c r="K153" s="34">
        <f t="shared" si="73"/>
        <v>349.63968</v>
      </c>
      <c r="L153" s="34">
        <f t="shared" si="73"/>
        <v>349.63968</v>
      </c>
      <c r="M153" s="34">
        <f t="shared" si="73"/>
        <v>349.63968</v>
      </c>
      <c r="N153" s="34">
        <f t="shared" si="73"/>
        <v>349.63968</v>
      </c>
      <c r="O153" s="34"/>
      <c r="P153" s="34"/>
      <c r="S153" s="34" t="s">
        <v>207</v>
      </c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4"/>
      <c r="AE153" s="34"/>
    </row>
    <row r="154" spans="2:31" x14ac:dyDescent="0.25">
      <c r="B154" s="34" t="s">
        <v>86</v>
      </c>
      <c r="C154" s="34">
        <f>C116+C119</f>
        <v>1420</v>
      </c>
      <c r="D154" s="34">
        <f t="shared" ref="D154:N154" si="74">D116+D119</f>
        <v>1420</v>
      </c>
      <c r="E154" s="34">
        <f t="shared" si="74"/>
        <v>1420</v>
      </c>
      <c r="F154" s="34">
        <f t="shared" si="74"/>
        <v>1420</v>
      </c>
      <c r="G154" s="34">
        <f t="shared" si="74"/>
        <v>1420</v>
      </c>
      <c r="H154" s="34">
        <f t="shared" si="74"/>
        <v>1452.5833333333333</v>
      </c>
      <c r="I154" s="34">
        <f t="shared" si="74"/>
        <v>1452.5833333333333</v>
      </c>
      <c r="J154" s="34">
        <f t="shared" si="74"/>
        <v>1452.5833333333333</v>
      </c>
      <c r="K154" s="34">
        <f t="shared" si="74"/>
        <v>1452.5833333333333</v>
      </c>
      <c r="L154" s="34">
        <f t="shared" si="74"/>
        <v>1452.5833333333333</v>
      </c>
      <c r="M154" s="34">
        <f t="shared" si="74"/>
        <v>1452.5833333333333</v>
      </c>
      <c r="N154" s="34">
        <f t="shared" si="74"/>
        <v>1452.5833333333333</v>
      </c>
      <c r="O154" s="34"/>
      <c r="P154" s="34"/>
      <c r="S154" s="59" t="s">
        <v>210</v>
      </c>
      <c r="T154" s="59">
        <f t="shared" ref="T154:AE154" si="75">T150+T153</f>
        <v>6364.8</v>
      </c>
      <c r="U154" s="59">
        <f t="shared" si="75"/>
        <v>6555.7439999999997</v>
      </c>
      <c r="V154" s="59">
        <f t="shared" si="75"/>
        <v>6555.7439999999997</v>
      </c>
      <c r="W154" s="59">
        <f t="shared" si="75"/>
        <v>6555.7439999999997</v>
      </c>
      <c r="X154" s="59">
        <f t="shared" si="75"/>
        <v>6555.7439999999997</v>
      </c>
      <c r="Y154" s="59">
        <f t="shared" si="75"/>
        <v>6555.7439999999997</v>
      </c>
      <c r="Z154" s="59">
        <f t="shared" si="75"/>
        <v>6555.7439999999997</v>
      </c>
      <c r="AA154" s="59">
        <f t="shared" si="75"/>
        <v>6555.7439999999997</v>
      </c>
      <c r="AB154" s="59">
        <f t="shared" si="75"/>
        <v>6555.7439999999997</v>
      </c>
      <c r="AC154" s="59">
        <f t="shared" si="75"/>
        <v>6555.7439999999997</v>
      </c>
      <c r="AD154" s="59">
        <f t="shared" si="75"/>
        <v>6555.7439999999997</v>
      </c>
      <c r="AE154" s="59">
        <f t="shared" si="75"/>
        <v>6555.7439999999997</v>
      </c>
    </row>
    <row r="155" spans="2:31" x14ac:dyDescent="0.25">
      <c r="B155" s="59" t="s">
        <v>113</v>
      </c>
      <c r="C155" s="59">
        <f t="shared" ref="C155:N155" si="76">C144</f>
        <v>0</v>
      </c>
      <c r="D155" s="59">
        <f t="shared" si="76"/>
        <v>0</v>
      </c>
      <c r="E155" s="59">
        <f t="shared" si="76"/>
        <v>0</v>
      </c>
      <c r="F155" s="59">
        <f t="shared" si="76"/>
        <v>0</v>
      </c>
      <c r="G155" s="59">
        <f t="shared" si="76"/>
        <v>0</v>
      </c>
      <c r="H155" s="59">
        <f t="shared" si="76"/>
        <v>0</v>
      </c>
      <c r="I155" s="59">
        <f t="shared" si="76"/>
        <v>0</v>
      </c>
      <c r="J155" s="59">
        <f t="shared" si="76"/>
        <v>0</v>
      </c>
      <c r="K155" s="59">
        <f t="shared" si="76"/>
        <v>0</v>
      </c>
      <c r="L155" s="59">
        <f t="shared" si="76"/>
        <v>0</v>
      </c>
      <c r="M155" s="59">
        <f t="shared" si="76"/>
        <v>0</v>
      </c>
      <c r="N155" s="59">
        <f t="shared" si="76"/>
        <v>0</v>
      </c>
      <c r="O155" s="34"/>
      <c r="P155" s="34"/>
      <c r="S155" s="34" t="s">
        <v>211</v>
      </c>
      <c r="T155" s="34">
        <f t="shared" ref="T155:AE155" si="77">C176</f>
        <v>49690.100460952373</v>
      </c>
      <c r="U155" s="34">
        <f t="shared" si="77"/>
        <v>49690.524780952379</v>
      </c>
      <c r="V155" s="34">
        <f t="shared" si="77"/>
        <v>49690.524780952379</v>
      </c>
      <c r="W155" s="34">
        <f t="shared" si="77"/>
        <v>49690.524780952379</v>
      </c>
      <c r="X155" s="34">
        <f t="shared" si="77"/>
        <v>49690.524780952379</v>
      </c>
      <c r="Y155" s="34">
        <f t="shared" si="77"/>
        <v>49886.024780952379</v>
      </c>
      <c r="Z155" s="34">
        <f t="shared" si="77"/>
        <v>49853.441447619043</v>
      </c>
      <c r="AA155" s="34">
        <f t="shared" si="77"/>
        <v>49853.441447619043</v>
      </c>
      <c r="AB155" s="34">
        <f t="shared" si="77"/>
        <v>49853.441447619043</v>
      </c>
      <c r="AC155" s="34">
        <f t="shared" si="77"/>
        <v>58053.441447619043</v>
      </c>
      <c r="AD155" s="34">
        <f t="shared" si="77"/>
        <v>49853.441447619043</v>
      </c>
      <c r="AE155" s="34">
        <f t="shared" si="77"/>
        <v>49853.441447619043</v>
      </c>
    </row>
    <row r="156" spans="2:31" x14ac:dyDescent="0.25">
      <c r="B156" s="44" t="s">
        <v>117</v>
      </c>
      <c r="C156" s="42">
        <f t="shared" ref="C156:N156" si="78">C153+C154+C155</f>
        <v>1769.63968</v>
      </c>
      <c r="D156" s="42">
        <f t="shared" si="78"/>
        <v>1769.63968</v>
      </c>
      <c r="E156" s="42">
        <f t="shared" si="78"/>
        <v>1769.63968</v>
      </c>
      <c r="F156" s="42">
        <f t="shared" si="78"/>
        <v>1769.63968</v>
      </c>
      <c r="G156" s="42">
        <f t="shared" si="78"/>
        <v>1769.63968</v>
      </c>
      <c r="H156" s="42">
        <f t="shared" si="78"/>
        <v>1802.2230133333333</v>
      </c>
      <c r="I156" s="42">
        <f t="shared" si="78"/>
        <v>1802.2230133333333</v>
      </c>
      <c r="J156" s="42">
        <f t="shared" si="78"/>
        <v>1802.2230133333333</v>
      </c>
      <c r="K156" s="42">
        <f t="shared" si="78"/>
        <v>1802.2230133333333</v>
      </c>
      <c r="L156" s="42">
        <f t="shared" si="78"/>
        <v>1802.2230133333333</v>
      </c>
      <c r="M156" s="42">
        <f t="shared" si="78"/>
        <v>1802.2230133333333</v>
      </c>
      <c r="N156" s="42">
        <f t="shared" si="78"/>
        <v>1802.2230133333333</v>
      </c>
      <c r="O156" s="34"/>
      <c r="P156" s="34"/>
      <c r="S156" s="34" t="s">
        <v>212</v>
      </c>
      <c r="T156" s="34"/>
      <c r="U156" s="34"/>
      <c r="V156" s="34"/>
      <c r="W156" s="34"/>
      <c r="X156" s="34"/>
      <c r="Y156" s="34"/>
      <c r="Z156" s="34">
        <f>Y153*0.07</f>
        <v>0</v>
      </c>
      <c r="AA156" s="34"/>
      <c r="AB156" s="34">
        <f>AA153*0.07</f>
        <v>0</v>
      </c>
      <c r="AC156" s="34">
        <f>AB153*0.07</f>
        <v>0</v>
      </c>
      <c r="AD156" s="34">
        <f>AC153*0.07</f>
        <v>0</v>
      </c>
      <c r="AE156" s="34">
        <f>AD153*0.07</f>
        <v>0</v>
      </c>
    </row>
    <row r="157" spans="2:31" x14ac:dyDescent="0.25">
      <c r="B157" s="45" t="s">
        <v>118</v>
      </c>
      <c r="C157" s="43">
        <f t="shared" ref="C157:N157" si="79">C152-C156</f>
        <v>-677.01567999999997</v>
      </c>
      <c r="D157" s="43">
        <f t="shared" si="79"/>
        <v>-677.01567999999997</v>
      </c>
      <c r="E157" s="43">
        <f t="shared" si="79"/>
        <v>-677.01567999999997</v>
      </c>
      <c r="F157" s="43">
        <f t="shared" si="79"/>
        <v>-677.01567999999997</v>
      </c>
      <c r="G157" s="43">
        <f t="shared" si="79"/>
        <v>-677.01567999999997</v>
      </c>
      <c r="H157" s="43">
        <f t="shared" si="79"/>
        <v>-709.59901333333323</v>
      </c>
      <c r="I157" s="43">
        <f t="shared" si="79"/>
        <v>-709.59901333333323</v>
      </c>
      <c r="J157" s="43">
        <f t="shared" si="79"/>
        <v>-709.59901333333323</v>
      </c>
      <c r="K157" s="43">
        <f t="shared" si="79"/>
        <v>-709.59901333333323</v>
      </c>
      <c r="L157" s="43">
        <f t="shared" si="79"/>
        <v>-709.59901333333323</v>
      </c>
      <c r="M157" s="43">
        <f t="shared" si="79"/>
        <v>-709.59901333333323</v>
      </c>
      <c r="N157" s="43">
        <f t="shared" si="79"/>
        <v>-709.59901333333323</v>
      </c>
      <c r="O157" s="34"/>
      <c r="P157" s="34"/>
      <c r="S157" s="59" t="s">
        <v>213</v>
      </c>
      <c r="T157" s="59">
        <f t="shared" ref="T157:AE157" si="80">T155+T156</f>
        <v>49690.100460952373</v>
      </c>
      <c r="U157" s="59">
        <f t="shared" si="80"/>
        <v>49690.524780952379</v>
      </c>
      <c r="V157" s="59">
        <f t="shared" si="80"/>
        <v>49690.524780952379</v>
      </c>
      <c r="W157" s="59">
        <f t="shared" si="80"/>
        <v>49690.524780952379</v>
      </c>
      <c r="X157" s="59">
        <f t="shared" si="80"/>
        <v>49690.524780952379</v>
      </c>
      <c r="Y157" s="59">
        <f t="shared" si="80"/>
        <v>49886.024780952379</v>
      </c>
      <c r="Z157" s="59">
        <f t="shared" si="80"/>
        <v>49853.441447619043</v>
      </c>
      <c r="AA157" s="59">
        <f t="shared" si="80"/>
        <v>49853.441447619043</v>
      </c>
      <c r="AB157" s="59">
        <f t="shared" si="80"/>
        <v>49853.441447619043</v>
      </c>
      <c r="AC157" s="59">
        <f t="shared" si="80"/>
        <v>58053.441447619043</v>
      </c>
      <c r="AD157" s="59">
        <f t="shared" si="80"/>
        <v>49853.441447619043</v>
      </c>
      <c r="AE157" s="59">
        <f t="shared" si="80"/>
        <v>49853.441447619043</v>
      </c>
    </row>
    <row r="158" spans="2:31" x14ac:dyDescent="0.25">
      <c r="B158" s="59" t="s">
        <v>81</v>
      </c>
      <c r="C158" s="59">
        <f>P66</f>
        <v>-677.44</v>
      </c>
      <c r="D158" s="59">
        <f t="shared" ref="D158:N158" si="81">C157</f>
        <v>-677.01567999999997</v>
      </c>
      <c r="E158" s="59">
        <f t="shared" si="81"/>
        <v>-677.01567999999997</v>
      </c>
      <c r="F158" s="59">
        <f t="shared" si="81"/>
        <v>-677.01567999999997</v>
      </c>
      <c r="G158" s="59">
        <f t="shared" si="81"/>
        <v>-677.01567999999997</v>
      </c>
      <c r="H158" s="59">
        <f t="shared" si="81"/>
        <v>-677.01567999999997</v>
      </c>
      <c r="I158" s="59">
        <f t="shared" si="81"/>
        <v>-709.59901333333323</v>
      </c>
      <c r="J158" s="59">
        <f t="shared" si="81"/>
        <v>-709.59901333333323</v>
      </c>
      <c r="K158" s="59">
        <f t="shared" si="81"/>
        <v>-709.59901333333323</v>
      </c>
      <c r="L158" s="59">
        <f t="shared" si="81"/>
        <v>-709.59901333333323</v>
      </c>
      <c r="M158" s="59">
        <f t="shared" si="81"/>
        <v>-709.59901333333323</v>
      </c>
      <c r="N158" s="59">
        <f t="shared" si="81"/>
        <v>-709.59901333333323</v>
      </c>
      <c r="O158" s="60" t="s">
        <v>119</v>
      </c>
      <c r="P158" s="61">
        <f>N157</f>
        <v>-709.59901333333323</v>
      </c>
      <c r="S158" s="34" t="s">
        <v>132</v>
      </c>
      <c r="T158" s="34">
        <f>AE60</f>
        <v>-434085.43857142859</v>
      </c>
      <c r="U158" s="34">
        <f t="shared" ref="U158:AE158" si="82">T160</f>
        <v>-477410.73903238098</v>
      </c>
      <c r="V158" s="34">
        <f t="shared" si="82"/>
        <v>-520545.51981333335</v>
      </c>
      <c r="W158" s="34">
        <f t="shared" si="82"/>
        <v>-563680.30059428571</v>
      </c>
      <c r="X158" s="34">
        <f t="shared" si="82"/>
        <v>-606815.08137523814</v>
      </c>
      <c r="Y158" s="34">
        <f t="shared" si="82"/>
        <v>-649949.86215619056</v>
      </c>
      <c r="Z158" s="34">
        <f t="shared" si="82"/>
        <v>-693280.14293714298</v>
      </c>
      <c r="AA158" s="34">
        <f t="shared" si="82"/>
        <v>-736577.84038476204</v>
      </c>
      <c r="AB158" s="34">
        <f t="shared" si="82"/>
        <v>-779875.53783238109</v>
      </c>
      <c r="AC158" s="34">
        <f t="shared" si="82"/>
        <v>-823173.23528000014</v>
      </c>
      <c r="AD158" s="34">
        <f t="shared" si="82"/>
        <v>-874670.93272761919</v>
      </c>
      <c r="AE158" s="34">
        <f t="shared" si="82"/>
        <v>-917968.63017523824</v>
      </c>
    </row>
    <row r="159" spans="2:31" x14ac:dyDescent="0.25">
      <c r="S159" s="34" t="s">
        <v>133</v>
      </c>
      <c r="T159" s="34">
        <f t="shared" ref="T159:AE159" si="83">T154-T157</f>
        <v>-43325.30046095237</v>
      </c>
      <c r="U159" s="34">
        <f t="shared" si="83"/>
        <v>-43134.78078095238</v>
      </c>
      <c r="V159" s="34">
        <f t="shared" si="83"/>
        <v>-43134.78078095238</v>
      </c>
      <c r="W159" s="34">
        <f t="shared" si="83"/>
        <v>-43134.78078095238</v>
      </c>
      <c r="X159" s="34">
        <f t="shared" si="83"/>
        <v>-43134.78078095238</v>
      </c>
      <c r="Y159" s="34">
        <f t="shared" si="83"/>
        <v>-43330.28078095238</v>
      </c>
      <c r="Z159" s="34">
        <f t="shared" si="83"/>
        <v>-43297.697447619044</v>
      </c>
      <c r="AA159" s="34">
        <f t="shared" si="83"/>
        <v>-43297.697447619044</v>
      </c>
      <c r="AB159" s="34">
        <f t="shared" si="83"/>
        <v>-43297.697447619044</v>
      </c>
      <c r="AC159" s="34">
        <f t="shared" si="83"/>
        <v>-51497.697447619044</v>
      </c>
      <c r="AD159" s="34">
        <f t="shared" si="83"/>
        <v>-43297.697447619044</v>
      </c>
      <c r="AE159" s="34">
        <f t="shared" si="83"/>
        <v>-43297.697447619044</v>
      </c>
    </row>
    <row r="160" spans="2:31" x14ac:dyDescent="0.25">
      <c r="S160" s="34" t="s">
        <v>214</v>
      </c>
      <c r="T160" s="34">
        <f t="shared" ref="T160:AE160" si="84">T158+T159</f>
        <v>-477410.73903238098</v>
      </c>
      <c r="U160" s="34">
        <f t="shared" si="84"/>
        <v>-520545.51981333335</v>
      </c>
      <c r="V160" s="34">
        <f t="shared" si="84"/>
        <v>-563680.30059428571</v>
      </c>
      <c r="W160" s="34">
        <f t="shared" si="84"/>
        <v>-606815.08137523814</v>
      </c>
      <c r="X160" s="34">
        <f t="shared" si="84"/>
        <v>-649949.86215619056</v>
      </c>
      <c r="Y160" s="34">
        <f t="shared" si="84"/>
        <v>-693280.14293714298</v>
      </c>
      <c r="Z160" s="34">
        <f t="shared" si="84"/>
        <v>-736577.84038476204</v>
      </c>
      <c r="AA160" s="34">
        <f t="shared" si="84"/>
        <v>-779875.53783238109</v>
      </c>
      <c r="AB160" s="34">
        <f t="shared" si="84"/>
        <v>-823173.23528000014</v>
      </c>
      <c r="AC160" s="34">
        <f t="shared" si="84"/>
        <v>-874670.93272761919</v>
      </c>
      <c r="AD160" s="34">
        <f t="shared" si="84"/>
        <v>-917968.63017523824</v>
      </c>
      <c r="AE160" s="34">
        <f t="shared" si="84"/>
        <v>-961266.32762285729</v>
      </c>
    </row>
    <row r="161" spans="2:31" x14ac:dyDescent="0.25">
      <c r="B161" s="288" t="s">
        <v>151</v>
      </c>
      <c r="C161" s="288"/>
      <c r="D161" s="288"/>
      <c r="E161" s="288"/>
      <c r="F161" s="288"/>
      <c r="G161" s="288"/>
      <c r="H161" s="288"/>
      <c r="I161" s="288"/>
      <c r="J161" s="288"/>
      <c r="K161" s="288"/>
      <c r="L161" s="288"/>
      <c r="M161" s="288"/>
      <c r="N161" s="288"/>
      <c r="O161" s="288"/>
      <c r="P161" s="288"/>
    </row>
    <row r="162" spans="2:31" x14ac:dyDescent="0.25">
      <c r="B162" s="213"/>
      <c r="C162" s="215" t="s">
        <v>50</v>
      </c>
      <c r="D162" s="215" t="s">
        <v>51</v>
      </c>
      <c r="E162" s="215" t="s">
        <v>52</v>
      </c>
      <c r="F162" s="215" t="s">
        <v>53</v>
      </c>
      <c r="G162" s="215" t="s">
        <v>54</v>
      </c>
      <c r="H162" s="215" t="s">
        <v>55</v>
      </c>
      <c r="I162" s="215" t="s">
        <v>56</v>
      </c>
      <c r="J162" s="215" t="s">
        <v>57</v>
      </c>
      <c r="K162" s="215" t="s">
        <v>58</v>
      </c>
      <c r="L162" s="215" t="s">
        <v>59</v>
      </c>
      <c r="M162" s="215" t="s">
        <v>60</v>
      </c>
      <c r="N162" s="215" t="s">
        <v>61</v>
      </c>
      <c r="O162" s="220" t="s">
        <v>62</v>
      </c>
      <c r="P162" s="221"/>
    </row>
    <row r="163" spans="2:31" x14ac:dyDescent="0.25">
      <c r="B163" s="214"/>
      <c r="C163" s="216"/>
      <c r="D163" s="216"/>
      <c r="E163" s="216"/>
      <c r="F163" s="216"/>
      <c r="G163" s="216"/>
      <c r="H163" s="216"/>
      <c r="I163" s="216"/>
      <c r="J163" s="216"/>
      <c r="K163" s="216"/>
      <c r="L163" s="216"/>
      <c r="M163" s="216"/>
      <c r="N163" s="216"/>
      <c r="O163" s="58" t="s">
        <v>64</v>
      </c>
      <c r="P163" s="58" t="s">
        <v>65</v>
      </c>
    </row>
    <row r="164" spans="2:31" x14ac:dyDescent="0.25">
      <c r="B164" s="35" t="s">
        <v>121</v>
      </c>
      <c r="C164" s="35">
        <f t="shared" ref="C164:N164" si="85">C100</f>
        <v>6364.8</v>
      </c>
      <c r="D164" s="35">
        <f t="shared" si="85"/>
        <v>6555.7439999999997</v>
      </c>
      <c r="E164" s="35">
        <f t="shared" si="85"/>
        <v>6555.7439999999997</v>
      </c>
      <c r="F164" s="35">
        <f t="shared" si="85"/>
        <v>6555.7439999999997</v>
      </c>
      <c r="G164" s="35">
        <f t="shared" si="85"/>
        <v>6555.7439999999997</v>
      </c>
      <c r="H164" s="35">
        <f t="shared" si="85"/>
        <v>6555.7439999999997</v>
      </c>
      <c r="I164" s="35">
        <f t="shared" si="85"/>
        <v>6555.7439999999997</v>
      </c>
      <c r="J164" s="43">
        <f t="shared" si="85"/>
        <v>6555.7439999999997</v>
      </c>
      <c r="K164" s="35">
        <f t="shared" si="85"/>
        <v>6555.7439999999997</v>
      </c>
      <c r="L164" s="35">
        <f t="shared" si="85"/>
        <v>6555.7439999999997</v>
      </c>
      <c r="M164" s="35">
        <f t="shared" si="85"/>
        <v>6555.7439999999997</v>
      </c>
      <c r="N164" s="35">
        <f t="shared" si="85"/>
        <v>6555.7439999999997</v>
      </c>
      <c r="O164" s="34"/>
      <c r="P164" s="34"/>
      <c r="S164" s="228" t="s">
        <v>138</v>
      </c>
      <c r="T164" s="229"/>
      <c r="V164" s="224" t="s">
        <v>222</v>
      </c>
      <c r="W164" s="224"/>
      <c r="X164" s="224"/>
      <c r="Y164" s="224"/>
      <c r="Z164" s="224"/>
      <c r="AA164" s="224"/>
    </row>
    <row r="165" spans="2:31" ht="30" x14ac:dyDescent="0.25">
      <c r="B165" s="34" t="s">
        <v>122</v>
      </c>
      <c r="C165" s="34"/>
      <c r="D165" s="34"/>
      <c r="E165" s="34"/>
      <c r="F165" s="34"/>
      <c r="G165" s="34"/>
      <c r="H165" s="34"/>
      <c r="I165" s="34"/>
      <c r="J165" s="34"/>
      <c r="K165" s="34"/>
      <c r="L165" s="34"/>
      <c r="M165" s="34"/>
      <c r="N165" s="34"/>
      <c r="O165" s="34"/>
      <c r="P165" s="34"/>
      <c r="S165" s="143" t="s">
        <v>1</v>
      </c>
      <c r="T165" s="21">
        <f>P97</f>
        <v>65557.440000000017</v>
      </c>
      <c r="V165" s="144" t="s">
        <v>2</v>
      </c>
      <c r="W165" s="145" t="s">
        <v>3</v>
      </c>
      <c r="X165" s="145" t="s">
        <v>4</v>
      </c>
      <c r="Y165" s="145" t="s">
        <v>5</v>
      </c>
      <c r="Z165" s="146" t="s">
        <v>6</v>
      </c>
      <c r="AA165" s="147" t="s">
        <v>5</v>
      </c>
      <c r="AB165" s="287"/>
      <c r="AC165" s="286"/>
      <c r="AD165" s="286"/>
      <c r="AE165" s="286"/>
    </row>
    <row r="166" spans="2:31" x14ac:dyDescent="0.25">
      <c r="B166" s="59" t="s">
        <v>123</v>
      </c>
      <c r="C166" s="59">
        <f t="shared" ref="C166:N166" si="86">C165+C164</f>
        <v>6364.8</v>
      </c>
      <c r="D166" s="59">
        <f t="shared" si="86"/>
        <v>6555.7439999999997</v>
      </c>
      <c r="E166" s="59">
        <f t="shared" si="86"/>
        <v>6555.7439999999997</v>
      </c>
      <c r="F166" s="59">
        <f t="shared" si="86"/>
        <v>6555.7439999999997</v>
      </c>
      <c r="G166" s="59">
        <f t="shared" si="86"/>
        <v>6555.7439999999997</v>
      </c>
      <c r="H166" s="59">
        <f t="shared" si="86"/>
        <v>6555.7439999999997</v>
      </c>
      <c r="I166" s="59">
        <f t="shared" si="86"/>
        <v>6555.7439999999997</v>
      </c>
      <c r="J166" s="59">
        <f t="shared" si="86"/>
        <v>6555.7439999999997</v>
      </c>
      <c r="K166" s="59">
        <f t="shared" si="86"/>
        <v>6555.7439999999997</v>
      </c>
      <c r="L166" s="59">
        <f t="shared" si="86"/>
        <v>6555.7439999999997</v>
      </c>
      <c r="M166" s="59">
        <f t="shared" si="86"/>
        <v>6555.7439999999997</v>
      </c>
      <c r="N166" s="59">
        <f t="shared" si="86"/>
        <v>6555.7439999999997</v>
      </c>
      <c r="O166" s="34"/>
      <c r="P166" s="34"/>
      <c r="S166" s="143" t="s">
        <v>67</v>
      </c>
      <c r="T166" s="21">
        <v>0</v>
      </c>
      <c r="V166" s="148" t="s">
        <v>8</v>
      </c>
      <c r="W166" s="148">
        <f>SUM(W167:W170)</f>
        <v>214000</v>
      </c>
      <c r="X166" s="148">
        <f>SUM(X167:X168)</f>
        <v>54100</v>
      </c>
      <c r="Y166" s="148">
        <f>SUM(Y167:Y168)</f>
        <v>159900</v>
      </c>
      <c r="Z166" s="148" t="s">
        <v>9</v>
      </c>
      <c r="AA166" s="149">
        <f>SUM(AA167:AA170)</f>
        <v>-883963.98460952379</v>
      </c>
      <c r="AB166" s="287"/>
      <c r="AC166" s="286"/>
      <c r="AD166" s="286"/>
      <c r="AE166" s="286"/>
    </row>
    <row r="167" spans="2:31" ht="30" x14ac:dyDescent="0.25">
      <c r="B167" s="39" t="s">
        <v>124</v>
      </c>
      <c r="C167" s="41">
        <f t="shared" ref="C167:N167" si="87">C109</f>
        <v>2097.83808</v>
      </c>
      <c r="D167" s="41">
        <f t="shared" si="87"/>
        <v>2097.83808</v>
      </c>
      <c r="E167" s="41">
        <f t="shared" si="87"/>
        <v>2097.83808</v>
      </c>
      <c r="F167" s="41">
        <f t="shared" si="87"/>
        <v>2097.83808</v>
      </c>
      <c r="G167" s="41">
        <f t="shared" si="87"/>
        <v>2097.83808</v>
      </c>
      <c r="H167" s="41">
        <f t="shared" si="87"/>
        <v>2097.83808</v>
      </c>
      <c r="I167" s="41">
        <f t="shared" si="87"/>
        <v>2097.83808</v>
      </c>
      <c r="J167" s="41">
        <f t="shared" si="87"/>
        <v>2097.83808</v>
      </c>
      <c r="K167" s="41">
        <f t="shared" si="87"/>
        <v>2097.83808</v>
      </c>
      <c r="L167" s="41">
        <f t="shared" si="87"/>
        <v>2097.83808</v>
      </c>
      <c r="M167" s="41">
        <f t="shared" si="87"/>
        <v>2097.83808</v>
      </c>
      <c r="N167" s="41">
        <f t="shared" si="87"/>
        <v>2097.83808</v>
      </c>
      <c r="O167" s="34"/>
      <c r="P167" s="34"/>
      <c r="S167" s="144" t="s">
        <v>10</v>
      </c>
      <c r="T167" s="131">
        <f>T165+T166</f>
        <v>65557.440000000017</v>
      </c>
      <c r="V167" s="150" t="s">
        <v>11</v>
      </c>
      <c r="W167" s="150">
        <f>W74</f>
        <v>159000</v>
      </c>
      <c r="X167" s="150">
        <f>X74+P123*0.75</f>
        <v>19750</v>
      </c>
      <c r="Y167" s="150">
        <f>W167-X167</f>
        <v>139250</v>
      </c>
      <c r="Z167" s="150" t="s">
        <v>12</v>
      </c>
      <c r="AA167" s="151">
        <f>AA74</f>
        <v>80000</v>
      </c>
      <c r="AB167" s="162"/>
      <c r="AC167" s="118"/>
      <c r="AD167" s="118"/>
      <c r="AE167" s="118"/>
    </row>
    <row r="168" spans="2:31" x14ac:dyDescent="0.25">
      <c r="B168" s="39" t="s">
        <v>125</v>
      </c>
      <c r="C168" s="41"/>
      <c r="D168" s="41"/>
      <c r="E168" s="41"/>
      <c r="F168" s="41"/>
      <c r="G168" s="41"/>
      <c r="H168" s="41"/>
      <c r="I168" s="41"/>
      <c r="J168" s="41"/>
      <c r="K168" s="41"/>
      <c r="L168" s="41"/>
      <c r="M168" s="41"/>
      <c r="N168" s="41"/>
      <c r="O168" s="34"/>
      <c r="P168" s="34"/>
      <c r="S168" s="143" t="s">
        <v>70</v>
      </c>
      <c r="T168" s="21">
        <f>P106</f>
        <v>20978.380799999999</v>
      </c>
      <c r="V168" s="150" t="s">
        <v>14</v>
      </c>
      <c r="W168" s="150">
        <f>W75</f>
        <v>55000</v>
      </c>
      <c r="X168" s="150">
        <f>X75+T173*0.25</f>
        <v>34350</v>
      </c>
      <c r="Y168" s="150">
        <f>W168-X168</f>
        <v>20650</v>
      </c>
      <c r="Z168" s="150" t="s">
        <v>15</v>
      </c>
      <c r="AA168" s="151">
        <v>5000</v>
      </c>
      <c r="AB168" s="152"/>
    </row>
    <row r="169" spans="2:31" x14ac:dyDescent="0.25">
      <c r="B169" s="39" t="s">
        <v>126</v>
      </c>
      <c r="C169" s="41">
        <f t="shared" ref="C169:N169" si="88">C125</f>
        <v>25625</v>
      </c>
      <c r="D169" s="41">
        <f t="shared" si="88"/>
        <v>25625</v>
      </c>
      <c r="E169" s="41">
        <f t="shared" si="88"/>
        <v>25625</v>
      </c>
      <c r="F169" s="41">
        <f t="shared" si="88"/>
        <v>25625</v>
      </c>
      <c r="G169" s="41">
        <f t="shared" si="88"/>
        <v>25625</v>
      </c>
      <c r="H169" s="41">
        <f t="shared" si="88"/>
        <v>25625</v>
      </c>
      <c r="I169" s="41">
        <f t="shared" si="88"/>
        <v>25625</v>
      </c>
      <c r="J169" s="41">
        <f t="shared" si="88"/>
        <v>25625</v>
      </c>
      <c r="K169" s="41">
        <f t="shared" si="88"/>
        <v>25625</v>
      </c>
      <c r="L169" s="41">
        <f t="shared" si="88"/>
        <v>25625</v>
      </c>
      <c r="M169" s="41">
        <f t="shared" si="88"/>
        <v>25625</v>
      </c>
      <c r="N169" s="41">
        <f t="shared" si="88"/>
        <v>25625</v>
      </c>
      <c r="O169" s="34"/>
      <c r="P169" s="34"/>
      <c r="S169" s="143" t="s">
        <v>73</v>
      </c>
      <c r="T169" s="21">
        <f>P115+P117+P118</f>
        <v>90036.845238095237</v>
      </c>
      <c r="V169" s="148"/>
      <c r="W169" s="148"/>
      <c r="X169" s="148"/>
      <c r="Y169" s="148"/>
      <c r="Z169" s="150" t="s">
        <v>17</v>
      </c>
      <c r="AA169" s="151">
        <f>AA76+AA77</f>
        <v>-474506.19857142854</v>
      </c>
      <c r="AB169" s="152"/>
    </row>
    <row r="170" spans="2:31" x14ac:dyDescent="0.25">
      <c r="B170" s="39" t="s">
        <v>21</v>
      </c>
      <c r="C170" s="41">
        <f t="shared" ref="C170:N170" si="89">C127</f>
        <v>10250</v>
      </c>
      <c r="D170" s="41">
        <f t="shared" si="89"/>
        <v>10250</v>
      </c>
      <c r="E170" s="41">
        <f t="shared" si="89"/>
        <v>10250</v>
      </c>
      <c r="F170" s="41">
        <f t="shared" si="89"/>
        <v>10250</v>
      </c>
      <c r="G170" s="41">
        <f t="shared" si="89"/>
        <v>10250</v>
      </c>
      <c r="H170" s="41">
        <f t="shared" si="89"/>
        <v>10250</v>
      </c>
      <c r="I170" s="41">
        <f t="shared" si="89"/>
        <v>10250</v>
      </c>
      <c r="J170" s="41">
        <f t="shared" si="89"/>
        <v>10250</v>
      </c>
      <c r="K170" s="41">
        <f t="shared" si="89"/>
        <v>10250</v>
      </c>
      <c r="L170" s="41">
        <f t="shared" si="89"/>
        <v>10250</v>
      </c>
      <c r="M170" s="41">
        <f t="shared" si="89"/>
        <v>10250</v>
      </c>
      <c r="N170" s="41">
        <f t="shared" si="89"/>
        <v>10250</v>
      </c>
      <c r="O170" s="34"/>
      <c r="P170" s="34"/>
      <c r="S170" s="143" t="s">
        <v>18</v>
      </c>
      <c r="T170" s="21">
        <f>P133</f>
        <v>8200</v>
      </c>
      <c r="V170" s="150"/>
      <c r="W170" s="150"/>
      <c r="X170" s="150"/>
      <c r="Y170" s="150"/>
      <c r="Z170" s="150" t="s">
        <v>19</v>
      </c>
      <c r="AA170" s="151">
        <f>T182</f>
        <v>-494457.78603809531</v>
      </c>
      <c r="AB170" s="152"/>
    </row>
    <row r="171" spans="2:31" x14ac:dyDescent="0.25">
      <c r="B171" s="39" t="s">
        <v>102</v>
      </c>
      <c r="C171" s="41">
        <f t="shared" ref="C171:N171" si="90">C134</f>
        <v>0</v>
      </c>
      <c r="D171" s="41">
        <f t="shared" si="90"/>
        <v>0</v>
      </c>
      <c r="E171" s="41">
        <f t="shared" si="90"/>
        <v>0</v>
      </c>
      <c r="F171" s="41">
        <f t="shared" si="90"/>
        <v>0</v>
      </c>
      <c r="G171" s="41">
        <f t="shared" si="90"/>
        <v>0</v>
      </c>
      <c r="H171" s="41">
        <f t="shared" si="90"/>
        <v>0</v>
      </c>
      <c r="I171" s="41">
        <f t="shared" si="90"/>
        <v>0</v>
      </c>
      <c r="J171" s="41">
        <f t="shared" si="90"/>
        <v>0</v>
      </c>
      <c r="K171" s="41">
        <f t="shared" si="90"/>
        <v>0</v>
      </c>
      <c r="L171" s="41">
        <f t="shared" si="90"/>
        <v>8200</v>
      </c>
      <c r="M171" s="41">
        <f t="shared" si="90"/>
        <v>0</v>
      </c>
      <c r="N171" s="41">
        <f t="shared" si="90"/>
        <v>0</v>
      </c>
      <c r="O171" s="34"/>
      <c r="P171" s="34"/>
      <c r="S171" s="143" t="s">
        <v>20</v>
      </c>
      <c r="T171" s="21">
        <f>P125</f>
        <v>307500</v>
      </c>
      <c r="V171" s="152"/>
      <c r="W171" s="153"/>
      <c r="Y171" s="153"/>
      <c r="Z171" s="151"/>
      <c r="AA171" s="149"/>
      <c r="AB171" s="162"/>
      <c r="AC171" s="118"/>
      <c r="AD171" s="118"/>
      <c r="AE171" s="118"/>
    </row>
    <row r="172" spans="2:31" x14ac:dyDescent="0.25">
      <c r="B172" s="39" t="s">
        <v>127</v>
      </c>
      <c r="C172" s="41">
        <f t="shared" ref="C172:N172" si="91">C121</f>
        <v>8828.0357142857138</v>
      </c>
      <c r="D172" s="41">
        <f t="shared" si="91"/>
        <v>8828.0357142857138</v>
      </c>
      <c r="E172" s="41">
        <f t="shared" si="91"/>
        <v>8828.0357142857138</v>
      </c>
      <c r="F172" s="41">
        <f t="shared" si="91"/>
        <v>8828.0357142857138</v>
      </c>
      <c r="G172" s="41">
        <f t="shared" si="91"/>
        <v>8828.0357142857138</v>
      </c>
      <c r="H172" s="41">
        <f t="shared" si="91"/>
        <v>9023.5357142857138</v>
      </c>
      <c r="I172" s="41">
        <f t="shared" si="91"/>
        <v>9023.5357142857138</v>
      </c>
      <c r="J172" s="41">
        <f t="shared" si="91"/>
        <v>9023.5357142857138</v>
      </c>
      <c r="K172" s="41">
        <f t="shared" si="91"/>
        <v>9023.5357142857138</v>
      </c>
      <c r="L172" s="41">
        <f t="shared" si="91"/>
        <v>9023.5357142857138</v>
      </c>
      <c r="M172" s="41">
        <f t="shared" si="91"/>
        <v>9023.5357142857138</v>
      </c>
      <c r="N172" s="41">
        <f t="shared" si="91"/>
        <v>9023.5357142857138</v>
      </c>
      <c r="O172" s="34"/>
      <c r="P172" s="34"/>
      <c r="S172" s="143" t="s">
        <v>21</v>
      </c>
      <c r="T172" s="21">
        <f>P126</f>
        <v>123000</v>
      </c>
      <c r="V172" s="148" t="s">
        <v>22</v>
      </c>
      <c r="W172" s="148">
        <f>SUM(W173:W175)</f>
        <v>-939710.58362285735</v>
      </c>
      <c r="X172" s="148">
        <f>SUM(X173:X175)</f>
        <v>0</v>
      </c>
      <c r="Y172" s="148">
        <f>SUM(Y173:Y175)</f>
        <v>-939710.58362285735</v>
      </c>
      <c r="Z172" s="148" t="s">
        <v>23</v>
      </c>
      <c r="AA172" s="149">
        <f>SUM(AA173:AA176)</f>
        <v>85131.400986666675</v>
      </c>
      <c r="AB172" s="152"/>
    </row>
    <row r="173" spans="2:31" ht="30" x14ac:dyDescent="0.25">
      <c r="B173" s="39" t="s">
        <v>128</v>
      </c>
      <c r="C173" s="41">
        <f t="shared" ref="C173:N173" si="92">C137</f>
        <v>3566.666666666667</v>
      </c>
      <c r="D173" s="41">
        <f t="shared" si="92"/>
        <v>3566.666666666667</v>
      </c>
      <c r="E173" s="41">
        <f t="shared" si="92"/>
        <v>3566.666666666667</v>
      </c>
      <c r="F173" s="41">
        <f t="shared" si="92"/>
        <v>3566.666666666667</v>
      </c>
      <c r="G173" s="41">
        <f t="shared" si="92"/>
        <v>3566.666666666667</v>
      </c>
      <c r="H173" s="41">
        <f t="shared" si="92"/>
        <v>3566.666666666667</v>
      </c>
      <c r="I173" s="41">
        <f t="shared" si="92"/>
        <v>3566.666666666667</v>
      </c>
      <c r="J173" s="41">
        <f t="shared" si="92"/>
        <v>3566.666666666667</v>
      </c>
      <c r="K173" s="41">
        <f t="shared" si="92"/>
        <v>3566.666666666667</v>
      </c>
      <c r="L173" s="41">
        <f t="shared" si="92"/>
        <v>3566.666666666667</v>
      </c>
      <c r="M173" s="41">
        <f t="shared" si="92"/>
        <v>3566.666666666667</v>
      </c>
      <c r="N173" s="41">
        <f t="shared" si="92"/>
        <v>3566.666666666667</v>
      </c>
      <c r="O173" s="34"/>
      <c r="P173" s="34"/>
      <c r="S173" s="143" t="s">
        <v>75</v>
      </c>
      <c r="T173" s="21">
        <f>P123</f>
        <v>7500</v>
      </c>
      <c r="V173" s="150" t="s">
        <v>25</v>
      </c>
      <c r="W173" s="150">
        <v>15000</v>
      </c>
      <c r="X173" s="150"/>
      <c r="Y173" s="150">
        <f>W173-X173</f>
        <v>15000</v>
      </c>
      <c r="Z173" s="150" t="s">
        <v>26</v>
      </c>
      <c r="AA173" s="151">
        <v>40000</v>
      </c>
      <c r="AB173" s="152"/>
    </row>
    <row r="174" spans="2:31" x14ac:dyDescent="0.25">
      <c r="B174" s="39" t="s">
        <v>129</v>
      </c>
      <c r="C174" s="41">
        <f t="shared" ref="C174:N174" si="93">C145</f>
        <v>0</v>
      </c>
      <c r="D174" s="41">
        <f t="shared" si="93"/>
        <v>0</v>
      </c>
      <c r="E174" s="41">
        <f t="shared" si="93"/>
        <v>0</v>
      </c>
      <c r="F174" s="41">
        <f t="shared" si="93"/>
        <v>0</v>
      </c>
      <c r="G174" s="41">
        <f t="shared" si="93"/>
        <v>0</v>
      </c>
      <c r="H174" s="41">
        <f t="shared" si="93"/>
        <v>0</v>
      </c>
      <c r="I174" s="41">
        <f t="shared" si="93"/>
        <v>0</v>
      </c>
      <c r="J174" s="41">
        <f t="shared" si="93"/>
        <v>0</v>
      </c>
      <c r="K174" s="41">
        <f t="shared" si="93"/>
        <v>0</v>
      </c>
      <c r="L174" s="41">
        <f t="shared" si="93"/>
        <v>0</v>
      </c>
      <c r="M174" s="41">
        <f t="shared" si="93"/>
        <v>0</v>
      </c>
      <c r="N174" s="41">
        <f t="shared" si="93"/>
        <v>0</v>
      </c>
      <c r="O174" s="34"/>
      <c r="P174" s="34"/>
      <c r="S174" s="144" t="s">
        <v>76</v>
      </c>
      <c r="T174" s="131">
        <f>SUM(T168:T173)</f>
        <v>557215.22603809531</v>
      </c>
      <c r="V174" s="150" t="s">
        <v>28</v>
      </c>
      <c r="W174" s="150">
        <f>P100</f>
        <v>6555.7439999999997</v>
      </c>
      <c r="X174" s="150"/>
      <c r="Y174" s="150">
        <f>W174-X174</f>
        <v>6555.7439999999997</v>
      </c>
      <c r="Z174" s="150" t="s">
        <v>29</v>
      </c>
      <c r="AA174" s="151">
        <v>0</v>
      </c>
      <c r="AB174" s="162"/>
      <c r="AC174" s="118"/>
      <c r="AD174" s="118"/>
      <c r="AE174" s="118"/>
    </row>
    <row r="175" spans="2:31" x14ac:dyDescent="0.25">
      <c r="B175" s="39" t="s">
        <v>130</v>
      </c>
      <c r="C175" s="41">
        <f>C158</f>
        <v>-677.44</v>
      </c>
      <c r="D175" s="41">
        <f t="shared" ref="D175:N175" si="94">D158</f>
        <v>-677.01567999999997</v>
      </c>
      <c r="E175" s="41">
        <f t="shared" si="94"/>
        <v>-677.01567999999997</v>
      </c>
      <c r="F175" s="41">
        <f t="shared" si="94"/>
        <v>-677.01567999999997</v>
      </c>
      <c r="G175" s="41">
        <f t="shared" si="94"/>
        <v>-677.01567999999997</v>
      </c>
      <c r="H175" s="41">
        <f t="shared" si="94"/>
        <v>-677.01567999999997</v>
      </c>
      <c r="I175" s="41">
        <f t="shared" si="94"/>
        <v>-709.59901333333323</v>
      </c>
      <c r="J175" s="41">
        <f t="shared" si="94"/>
        <v>-709.59901333333323</v>
      </c>
      <c r="K175" s="41">
        <f t="shared" si="94"/>
        <v>-709.59901333333323</v>
      </c>
      <c r="L175" s="41">
        <f t="shared" si="94"/>
        <v>-709.59901333333323</v>
      </c>
      <c r="M175" s="41">
        <f t="shared" si="94"/>
        <v>-709.59901333333323</v>
      </c>
      <c r="N175" s="41">
        <f t="shared" si="94"/>
        <v>-709.59901333333323</v>
      </c>
      <c r="O175" s="34"/>
      <c r="P175" s="34"/>
      <c r="S175" s="154" t="s">
        <v>30</v>
      </c>
      <c r="T175" s="155">
        <f>T167-T174</f>
        <v>-491657.78603809531</v>
      </c>
      <c r="V175" s="150" t="s">
        <v>34</v>
      </c>
      <c r="W175" s="150">
        <f>AE160</f>
        <v>-961266.32762285729</v>
      </c>
      <c r="X175" s="150"/>
      <c r="Y175" s="150">
        <f>W175-X175</f>
        <v>-961266.32762285729</v>
      </c>
      <c r="Z175" s="150" t="s">
        <v>32</v>
      </c>
      <c r="AA175" s="151">
        <f>P158+P127</f>
        <v>9540.4009866666674</v>
      </c>
      <c r="AB175" s="152"/>
    </row>
    <row r="176" spans="2:31" x14ac:dyDescent="0.25">
      <c r="B176" s="59" t="s">
        <v>131</v>
      </c>
      <c r="C176" s="59">
        <f>SUM(C167:C175)</f>
        <v>49690.100460952373</v>
      </c>
      <c r="D176" s="59">
        <f t="shared" ref="D176:N176" si="95">SUM(D167:D175)</f>
        <v>49690.524780952379</v>
      </c>
      <c r="E176" s="59">
        <f t="shared" si="95"/>
        <v>49690.524780952379</v>
      </c>
      <c r="F176" s="59">
        <f t="shared" si="95"/>
        <v>49690.524780952379</v>
      </c>
      <c r="G176" s="59">
        <f t="shared" si="95"/>
        <v>49690.524780952379</v>
      </c>
      <c r="H176" s="59">
        <f t="shared" si="95"/>
        <v>49886.024780952379</v>
      </c>
      <c r="I176" s="59">
        <f t="shared" si="95"/>
        <v>49853.441447619043</v>
      </c>
      <c r="J176" s="59">
        <f t="shared" si="95"/>
        <v>49853.441447619043</v>
      </c>
      <c r="K176" s="59">
        <f t="shared" si="95"/>
        <v>49853.441447619043</v>
      </c>
      <c r="L176" s="59">
        <f t="shared" si="95"/>
        <v>58053.441447619043</v>
      </c>
      <c r="M176" s="59">
        <f t="shared" si="95"/>
        <v>49853.441447619043</v>
      </c>
      <c r="N176" s="59">
        <f t="shared" si="95"/>
        <v>49853.441447619043</v>
      </c>
      <c r="O176" s="34"/>
      <c r="P176" s="34"/>
      <c r="S176" s="144" t="s">
        <v>33</v>
      </c>
      <c r="T176" s="131">
        <v>0</v>
      </c>
      <c r="V176" s="150"/>
      <c r="W176" s="150"/>
      <c r="X176" s="150"/>
      <c r="Y176" s="150"/>
      <c r="Z176" s="150" t="s">
        <v>221</v>
      </c>
      <c r="AA176" s="151">
        <f>AA83+SUM(T153:AE153)</f>
        <v>35591</v>
      </c>
      <c r="AB176" s="152"/>
    </row>
    <row r="177" spans="2:28" x14ac:dyDescent="0.25">
      <c r="B177" s="59" t="s">
        <v>132</v>
      </c>
      <c r="C177" s="59">
        <f>W82</f>
        <v>-434085.43857142859</v>
      </c>
      <c r="D177" s="59">
        <f t="shared" ref="D177:N177" si="96">C179</f>
        <v>-477410.73903238098</v>
      </c>
      <c r="E177" s="59">
        <f t="shared" si="96"/>
        <v>-520545.51981333335</v>
      </c>
      <c r="F177" s="59">
        <f t="shared" si="96"/>
        <v>-563680.30059428571</v>
      </c>
      <c r="G177" s="59">
        <f t="shared" si="96"/>
        <v>-606815.08137523814</v>
      </c>
      <c r="H177" s="59">
        <f t="shared" si="96"/>
        <v>-649949.86215619056</v>
      </c>
      <c r="I177" s="59">
        <f t="shared" si="96"/>
        <v>-693280.14293714298</v>
      </c>
      <c r="J177" s="59">
        <f t="shared" si="96"/>
        <v>-736577.84038476204</v>
      </c>
      <c r="K177" s="59">
        <f t="shared" si="96"/>
        <v>-779875.53783238109</v>
      </c>
      <c r="L177" s="59">
        <f t="shared" si="96"/>
        <v>-823173.23528000014</v>
      </c>
      <c r="M177" s="59">
        <f t="shared" si="96"/>
        <v>-874670.93272761919</v>
      </c>
      <c r="N177" s="59">
        <f t="shared" si="96"/>
        <v>-917968.63017523824</v>
      </c>
      <c r="O177" s="34"/>
      <c r="P177" s="34"/>
      <c r="S177" s="143" t="s">
        <v>36</v>
      </c>
      <c r="T177" s="21">
        <f>P135+SUM(T156:AE156)</f>
        <v>2800.0000000000014</v>
      </c>
      <c r="V177" s="156" t="s">
        <v>38</v>
      </c>
      <c r="W177" s="156">
        <f>W166+W172</f>
        <v>-725710.58362285735</v>
      </c>
      <c r="X177" s="156">
        <f>X166</f>
        <v>54100</v>
      </c>
      <c r="Y177" s="156">
        <f>W177-X177</f>
        <v>-779810.58362285735</v>
      </c>
      <c r="Z177" s="156" t="s">
        <v>39</v>
      </c>
      <c r="AA177" s="157">
        <f>AA166+AA172</f>
        <v>-798832.58362285711</v>
      </c>
      <c r="AB177" s="152"/>
    </row>
    <row r="178" spans="2:28" x14ac:dyDescent="0.25">
      <c r="B178" s="34" t="s">
        <v>133</v>
      </c>
      <c r="C178" s="34">
        <f t="shared" ref="C178:N178" si="97">C166-C176</f>
        <v>-43325.30046095237</v>
      </c>
      <c r="D178" s="34">
        <f t="shared" si="97"/>
        <v>-43134.78078095238</v>
      </c>
      <c r="E178" s="34">
        <f t="shared" si="97"/>
        <v>-43134.78078095238</v>
      </c>
      <c r="F178" s="34">
        <f t="shared" si="97"/>
        <v>-43134.78078095238</v>
      </c>
      <c r="G178" s="34">
        <f t="shared" si="97"/>
        <v>-43134.78078095238</v>
      </c>
      <c r="H178" s="34">
        <f t="shared" si="97"/>
        <v>-43330.28078095238</v>
      </c>
      <c r="I178" s="34">
        <f t="shared" si="97"/>
        <v>-43297.697447619044</v>
      </c>
      <c r="J178" s="34">
        <f t="shared" si="97"/>
        <v>-43297.697447619044</v>
      </c>
      <c r="K178" s="34">
        <f t="shared" si="97"/>
        <v>-43297.697447619044</v>
      </c>
      <c r="L178" s="34">
        <f t="shared" si="97"/>
        <v>-51497.697447619044</v>
      </c>
      <c r="M178" s="34">
        <f t="shared" si="97"/>
        <v>-43297.697447619044</v>
      </c>
      <c r="N178" s="34">
        <f t="shared" si="97"/>
        <v>-43297.697447619044</v>
      </c>
      <c r="O178" s="34"/>
      <c r="P178" s="34"/>
      <c r="S178" s="144" t="s">
        <v>37</v>
      </c>
      <c r="T178" s="131">
        <f>T177</f>
        <v>2800.0000000000014</v>
      </c>
      <c r="Z178" s="158" t="s">
        <v>42</v>
      </c>
      <c r="AA178" s="159">
        <f>Y177-AA177</f>
        <v>19021.999999999767</v>
      </c>
    </row>
    <row r="179" spans="2:28" x14ac:dyDescent="0.25">
      <c r="B179" s="59" t="s">
        <v>134</v>
      </c>
      <c r="C179" s="59">
        <f t="shared" ref="C179:N179" si="98">C177+C178</f>
        <v>-477410.73903238098</v>
      </c>
      <c r="D179" s="59">
        <f t="shared" si="98"/>
        <v>-520545.51981333335</v>
      </c>
      <c r="E179" s="59">
        <f t="shared" si="98"/>
        <v>-563680.30059428571</v>
      </c>
      <c r="F179" s="59">
        <f t="shared" si="98"/>
        <v>-606815.08137523814</v>
      </c>
      <c r="G179" s="59">
        <f t="shared" si="98"/>
        <v>-649949.86215619056</v>
      </c>
      <c r="H179" s="59">
        <f t="shared" si="98"/>
        <v>-693280.14293714298</v>
      </c>
      <c r="I179" s="59">
        <f t="shared" si="98"/>
        <v>-736577.84038476204</v>
      </c>
      <c r="J179" s="59">
        <f t="shared" si="98"/>
        <v>-779875.53783238109</v>
      </c>
      <c r="K179" s="59">
        <f t="shared" si="98"/>
        <v>-823173.23528000014</v>
      </c>
      <c r="L179" s="59">
        <f t="shared" si="98"/>
        <v>-874670.93272761919</v>
      </c>
      <c r="M179" s="59">
        <f t="shared" si="98"/>
        <v>-917968.63017523824</v>
      </c>
      <c r="N179" s="59">
        <f t="shared" si="98"/>
        <v>-961266.32762285729</v>
      </c>
      <c r="O179" s="60" t="s">
        <v>135</v>
      </c>
      <c r="P179" s="61">
        <f>N179</f>
        <v>-961266.32762285729</v>
      </c>
      <c r="S179" s="154" t="s">
        <v>40</v>
      </c>
      <c r="T179" s="155">
        <f>T176-T178</f>
        <v>-2800.0000000000014</v>
      </c>
    </row>
    <row r="180" spans="2:28" x14ac:dyDescent="0.25">
      <c r="S180" s="154" t="s">
        <v>43</v>
      </c>
      <c r="T180" s="155">
        <f>T175-(-T179)</f>
        <v>-494457.78603809531</v>
      </c>
    </row>
    <row r="181" spans="2:28" x14ac:dyDescent="0.25">
      <c r="S181" s="154" t="s">
        <v>45</v>
      </c>
      <c r="T181" s="21"/>
    </row>
    <row r="182" spans="2:28" ht="24" x14ac:dyDescent="0.4">
      <c r="B182" s="290" t="s">
        <v>152</v>
      </c>
      <c r="C182" s="290"/>
      <c r="D182" s="290"/>
      <c r="E182" s="290"/>
      <c r="F182" s="290"/>
      <c r="G182" s="290"/>
      <c r="H182" s="290"/>
      <c r="I182" s="290"/>
      <c r="J182" s="290"/>
      <c r="K182" s="290"/>
      <c r="L182" s="290"/>
      <c r="M182" s="290"/>
      <c r="N182" s="290"/>
      <c r="O182" s="290"/>
      <c r="P182" s="290"/>
      <c r="S182" s="160" t="s">
        <v>47</v>
      </c>
      <c r="T182" s="161">
        <f>T180</f>
        <v>-494457.78603809531</v>
      </c>
    </row>
    <row r="185" spans="2:28" x14ac:dyDescent="0.25">
      <c r="B185" s="288" t="s">
        <v>153</v>
      </c>
      <c r="C185" s="288"/>
      <c r="D185" s="288"/>
      <c r="E185" s="288"/>
      <c r="F185" s="288"/>
      <c r="G185" s="288"/>
      <c r="H185" s="288"/>
      <c r="I185" s="288"/>
      <c r="J185" s="288"/>
      <c r="K185" s="288"/>
      <c r="L185" s="288"/>
      <c r="M185" s="288"/>
      <c r="N185" s="288"/>
      <c r="O185" s="288"/>
      <c r="P185" s="288"/>
    </row>
    <row r="186" spans="2:28" x14ac:dyDescent="0.25">
      <c r="B186" s="213"/>
      <c r="C186" s="215" t="s">
        <v>50</v>
      </c>
      <c r="D186" s="215" t="s">
        <v>51</v>
      </c>
      <c r="E186" s="215" t="s">
        <v>52</v>
      </c>
      <c r="F186" s="215" t="s">
        <v>53</v>
      </c>
      <c r="G186" s="215" t="s">
        <v>54</v>
      </c>
      <c r="H186" s="215" t="s">
        <v>55</v>
      </c>
      <c r="I186" s="215" t="s">
        <v>56</v>
      </c>
      <c r="J186" s="215" t="s">
        <v>57</v>
      </c>
      <c r="K186" s="215" t="s">
        <v>58</v>
      </c>
      <c r="L186" s="215" t="s">
        <v>59</v>
      </c>
      <c r="M186" s="215" t="s">
        <v>60</v>
      </c>
      <c r="N186" s="215" t="s">
        <v>61</v>
      </c>
      <c r="O186" s="220" t="s">
        <v>62</v>
      </c>
      <c r="P186" s="221"/>
    </row>
    <row r="187" spans="2:28" x14ac:dyDescent="0.25">
      <c r="B187" s="214"/>
      <c r="C187" s="216"/>
      <c r="D187" s="216"/>
      <c r="E187" s="216"/>
      <c r="F187" s="216"/>
      <c r="G187" s="216"/>
      <c r="H187" s="216"/>
      <c r="I187" s="216"/>
      <c r="J187" s="216"/>
      <c r="K187" s="216"/>
      <c r="L187" s="216"/>
      <c r="M187" s="216"/>
      <c r="N187" s="216"/>
      <c r="O187" s="58" t="s">
        <v>64</v>
      </c>
      <c r="P187" s="58" t="s">
        <v>65</v>
      </c>
    </row>
    <row r="188" spans="2:28" x14ac:dyDescent="0.25">
      <c r="B188" s="35" t="s">
        <v>66</v>
      </c>
      <c r="C188" s="35">
        <f t="shared" ref="C188:N188" si="99">$P$97*1.03/12</f>
        <v>5627.013600000002</v>
      </c>
      <c r="D188" s="35">
        <f t="shared" si="99"/>
        <v>5627.013600000002</v>
      </c>
      <c r="E188" s="35">
        <f t="shared" si="99"/>
        <v>5627.013600000002</v>
      </c>
      <c r="F188" s="35">
        <f t="shared" si="99"/>
        <v>5627.013600000002</v>
      </c>
      <c r="G188" s="35">
        <f t="shared" si="99"/>
        <v>5627.013600000002</v>
      </c>
      <c r="H188" s="35">
        <f t="shared" si="99"/>
        <v>5627.013600000002</v>
      </c>
      <c r="I188" s="35">
        <f t="shared" si="99"/>
        <v>5627.013600000002</v>
      </c>
      <c r="J188" s="35">
        <f t="shared" si="99"/>
        <v>5627.013600000002</v>
      </c>
      <c r="K188" s="35">
        <f t="shared" si="99"/>
        <v>5627.013600000002</v>
      </c>
      <c r="L188" s="35">
        <f t="shared" si="99"/>
        <v>5627.013600000002</v>
      </c>
      <c r="M188" s="35">
        <f t="shared" si="99"/>
        <v>5627.013600000002</v>
      </c>
      <c r="N188" s="35">
        <f t="shared" si="99"/>
        <v>5627.013600000002</v>
      </c>
      <c r="O188" s="60" t="s">
        <v>1</v>
      </c>
      <c r="P188" s="61">
        <f>SUM(C188:N188)</f>
        <v>67524.163200000039</v>
      </c>
    </row>
    <row r="189" spans="2:28" x14ac:dyDescent="0.25">
      <c r="B189" s="34" t="s">
        <v>68</v>
      </c>
      <c r="C189" s="34">
        <f t="shared" ref="C189:N189" si="100">C188*20%</f>
        <v>1125.4027200000005</v>
      </c>
      <c r="D189" s="34">
        <f t="shared" si="100"/>
        <v>1125.4027200000005</v>
      </c>
      <c r="E189" s="34">
        <f t="shared" si="100"/>
        <v>1125.4027200000005</v>
      </c>
      <c r="F189" s="34">
        <f t="shared" si="100"/>
        <v>1125.4027200000005</v>
      </c>
      <c r="G189" s="34">
        <f t="shared" si="100"/>
        <v>1125.4027200000005</v>
      </c>
      <c r="H189" s="34">
        <f t="shared" si="100"/>
        <v>1125.4027200000005</v>
      </c>
      <c r="I189" s="34">
        <f t="shared" si="100"/>
        <v>1125.4027200000005</v>
      </c>
      <c r="J189" s="34">
        <f t="shared" si="100"/>
        <v>1125.4027200000005</v>
      </c>
      <c r="K189" s="34">
        <f t="shared" si="100"/>
        <v>1125.4027200000005</v>
      </c>
      <c r="L189" s="34">
        <f t="shared" si="100"/>
        <v>1125.4027200000005</v>
      </c>
      <c r="M189" s="34">
        <f t="shared" si="100"/>
        <v>1125.4027200000005</v>
      </c>
      <c r="N189" s="34">
        <f t="shared" si="100"/>
        <v>1125.4027200000005</v>
      </c>
      <c r="O189" s="34"/>
      <c r="P189" s="34"/>
    </row>
    <row r="190" spans="2:28" x14ac:dyDescent="0.25">
      <c r="B190" s="34" t="s">
        <v>69</v>
      </c>
      <c r="C190" s="34">
        <f t="shared" ref="C190:N190" si="101">C188+C189</f>
        <v>6752.4163200000021</v>
      </c>
      <c r="D190" s="34">
        <f t="shared" si="101"/>
        <v>6752.4163200000021</v>
      </c>
      <c r="E190" s="34">
        <f t="shared" si="101"/>
        <v>6752.4163200000021</v>
      </c>
      <c r="F190" s="34">
        <f t="shared" si="101"/>
        <v>6752.4163200000021</v>
      </c>
      <c r="G190" s="34">
        <f t="shared" si="101"/>
        <v>6752.4163200000021</v>
      </c>
      <c r="H190" s="34">
        <f t="shared" si="101"/>
        <v>6752.4163200000021</v>
      </c>
      <c r="I190" s="34">
        <f t="shared" si="101"/>
        <v>6752.4163200000021</v>
      </c>
      <c r="J190" s="34">
        <f t="shared" si="101"/>
        <v>6752.4163200000021</v>
      </c>
      <c r="K190" s="34">
        <f t="shared" si="101"/>
        <v>6752.4163200000021</v>
      </c>
      <c r="L190" s="34">
        <f t="shared" si="101"/>
        <v>6752.4163200000021</v>
      </c>
      <c r="M190" s="34">
        <f t="shared" si="101"/>
        <v>6752.4163200000021</v>
      </c>
      <c r="N190" s="34">
        <f t="shared" si="101"/>
        <v>6752.4163200000021</v>
      </c>
      <c r="O190" s="34"/>
      <c r="P190" s="34"/>
    </row>
    <row r="191" spans="2:28" x14ac:dyDescent="0.25">
      <c r="B191" s="59" t="s">
        <v>139</v>
      </c>
      <c r="C191" s="59">
        <f>Y174</f>
        <v>6555.7439999999997</v>
      </c>
      <c r="D191" s="59">
        <f t="shared" ref="D191:N191" si="102">C190</f>
        <v>6752.4163200000021</v>
      </c>
      <c r="E191" s="59">
        <f t="shared" si="102"/>
        <v>6752.4163200000021</v>
      </c>
      <c r="F191" s="59">
        <f t="shared" si="102"/>
        <v>6752.4163200000021</v>
      </c>
      <c r="G191" s="59">
        <f t="shared" si="102"/>
        <v>6752.4163200000021</v>
      </c>
      <c r="H191" s="59">
        <f t="shared" si="102"/>
        <v>6752.4163200000021</v>
      </c>
      <c r="I191" s="59">
        <f t="shared" si="102"/>
        <v>6752.4163200000021</v>
      </c>
      <c r="J191" s="59">
        <f t="shared" si="102"/>
        <v>6752.4163200000021</v>
      </c>
      <c r="K191" s="59">
        <f t="shared" si="102"/>
        <v>6752.4163200000021</v>
      </c>
      <c r="L191" s="59">
        <f t="shared" si="102"/>
        <v>6752.4163200000021</v>
      </c>
      <c r="M191" s="59">
        <f t="shared" si="102"/>
        <v>6752.4163200000021</v>
      </c>
      <c r="N191" s="59">
        <f t="shared" si="102"/>
        <v>6752.4163200000021</v>
      </c>
      <c r="O191" s="60" t="s">
        <v>72</v>
      </c>
      <c r="P191" s="61">
        <f>N190</f>
        <v>6752.4163200000021</v>
      </c>
    </row>
    <row r="194" spans="2:16" x14ac:dyDescent="0.25">
      <c r="B194" s="288" t="s">
        <v>155</v>
      </c>
      <c r="C194" s="288"/>
      <c r="D194" s="288"/>
      <c r="E194" s="288"/>
      <c r="F194" s="288"/>
      <c r="G194" s="288"/>
      <c r="H194" s="288"/>
      <c r="I194" s="288"/>
      <c r="J194" s="288"/>
      <c r="K194" s="288"/>
      <c r="L194" s="288"/>
      <c r="M194" s="288"/>
      <c r="N194" s="288"/>
      <c r="O194" s="288"/>
      <c r="P194" s="288"/>
    </row>
    <row r="195" spans="2:16" x14ac:dyDescent="0.25">
      <c r="B195" s="213"/>
      <c r="C195" s="215" t="s">
        <v>50</v>
      </c>
      <c r="D195" s="215" t="s">
        <v>51</v>
      </c>
      <c r="E195" s="215" t="s">
        <v>52</v>
      </c>
      <c r="F195" s="215" t="s">
        <v>53</v>
      </c>
      <c r="G195" s="215" t="s">
        <v>54</v>
      </c>
      <c r="H195" s="215" t="s">
        <v>55</v>
      </c>
      <c r="I195" s="215" t="s">
        <v>56</v>
      </c>
      <c r="J195" s="215" t="s">
        <v>57</v>
      </c>
      <c r="K195" s="215" t="s">
        <v>58</v>
      </c>
      <c r="L195" s="215" t="s">
        <v>59</v>
      </c>
      <c r="M195" s="215" t="s">
        <v>60</v>
      </c>
      <c r="N195" s="215" t="s">
        <v>61</v>
      </c>
      <c r="O195" s="220" t="s">
        <v>62</v>
      </c>
      <c r="P195" s="221"/>
    </row>
    <row r="196" spans="2:16" x14ac:dyDescent="0.25">
      <c r="B196" s="214"/>
      <c r="C196" s="216"/>
      <c r="D196" s="216"/>
      <c r="E196" s="216"/>
      <c r="F196" s="216"/>
      <c r="G196" s="216"/>
      <c r="H196" s="216"/>
      <c r="I196" s="216"/>
      <c r="J196" s="216"/>
      <c r="K196" s="216"/>
      <c r="L196" s="216"/>
      <c r="M196" s="216"/>
      <c r="N196" s="216"/>
      <c r="O196" s="58" t="s">
        <v>64</v>
      </c>
      <c r="P196" s="58" t="s">
        <v>65</v>
      </c>
    </row>
    <row r="197" spans="2:16" x14ac:dyDescent="0.25">
      <c r="B197" s="35" t="s">
        <v>77</v>
      </c>
      <c r="C197" s="35">
        <f t="shared" ref="C197:N197" si="103">C188*34%</f>
        <v>1913.1846240000009</v>
      </c>
      <c r="D197" s="35">
        <f t="shared" si="103"/>
        <v>1913.1846240000009</v>
      </c>
      <c r="E197" s="35">
        <f t="shared" si="103"/>
        <v>1913.1846240000009</v>
      </c>
      <c r="F197" s="35">
        <f t="shared" si="103"/>
        <v>1913.1846240000009</v>
      </c>
      <c r="G197" s="35">
        <f t="shared" si="103"/>
        <v>1913.1846240000009</v>
      </c>
      <c r="H197" s="35">
        <f t="shared" si="103"/>
        <v>1913.1846240000009</v>
      </c>
      <c r="I197" s="35">
        <f t="shared" si="103"/>
        <v>1913.1846240000009</v>
      </c>
      <c r="J197" s="35">
        <f t="shared" si="103"/>
        <v>1913.1846240000009</v>
      </c>
      <c r="K197" s="35">
        <f t="shared" si="103"/>
        <v>1913.1846240000009</v>
      </c>
      <c r="L197" s="35">
        <f t="shared" si="103"/>
        <v>1913.1846240000009</v>
      </c>
      <c r="M197" s="35">
        <f t="shared" si="103"/>
        <v>1913.1846240000009</v>
      </c>
      <c r="N197" s="35">
        <f t="shared" si="103"/>
        <v>1913.1846240000009</v>
      </c>
      <c r="O197" s="60" t="s">
        <v>78</v>
      </c>
      <c r="P197" s="61">
        <f>SUM(C197:N197)</f>
        <v>22958.215488000013</v>
      </c>
    </row>
    <row r="198" spans="2:16" x14ac:dyDescent="0.25">
      <c r="B198" s="34" t="s">
        <v>79</v>
      </c>
      <c r="C198" s="34">
        <f t="shared" ref="C198:N198" si="104">C197*20%</f>
        <v>382.6369248000002</v>
      </c>
      <c r="D198" s="34">
        <f t="shared" si="104"/>
        <v>382.6369248000002</v>
      </c>
      <c r="E198" s="34">
        <f t="shared" si="104"/>
        <v>382.6369248000002</v>
      </c>
      <c r="F198" s="34">
        <f t="shared" si="104"/>
        <v>382.6369248000002</v>
      </c>
      <c r="G198" s="34">
        <f t="shared" si="104"/>
        <v>382.6369248000002</v>
      </c>
      <c r="H198" s="34">
        <f t="shared" si="104"/>
        <v>382.6369248000002</v>
      </c>
      <c r="I198" s="34">
        <f t="shared" si="104"/>
        <v>382.6369248000002</v>
      </c>
      <c r="J198" s="34">
        <f t="shared" si="104"/>
        <v>382.6369248000002</v>
      </c>
      <c r="K198" s="34">
        <f t="shared" si="104"/>
        <v>382.6369248000002</v>
      </c>
      <c r="L198" s="34">
        <f t="shared" si="104"/>
        <v>382.6369248000002</v>
      </c>
      <c r="M198" s="34">
        <f t="shared" si="104"/>
        <v>382.6369248000002</v>
      </c>
      <c r="N198" s="34">
        <f t="shared" si="104"/>
        <v>382.6369248000002</v>
      </c>
      <c r="O198" s="34"/>
      <c r="P198" s="34"/>
    </row>
    <row r="199" spans="2:16" x14ac:dyDescent="0.25">
      <c r="B199" s="34" t="s">
        <v>80</v>
      </c>
      <c r="C199" s="34">
        <f t="shared" ref="C199:N199" si="105">C197+C198</f>
        <v>2295.821548800001</v>
      </c>
      <c r="D199" s="34">
        <f t="shared" si="105"/>
        <v>2295.821548800001</v>
      </c>
      <c r="E199" s="34">
        <f t="shared" si="105"/>
        <v>2295.821548800001</v>
      </c>
      <c r="F199" s="34">
        <f t="shared" si="105"/>
        <v>2295.821548800001</v>
      </c>
      <c r="G199" s="34">
        <f t="shared" si="105"/>
        <v>2295.821548800001</v>
      </c>
      <c r="H199" s="34">
        <f t="shared" si="105"/>
        <v>2295.821548800001</v>
      </c>
      <c r="I199" s="34">
        <f t="shared" si="105"/>
        <v>2295.821548800001</v>
      </c>
      <c r="J199" s="34">
        <f t="shared" si="105"/>
        <v>2295.821548800001</v>
      </c>
      <c r="K199" s="34">
        <f t="shared" si="105"/>
        <v>2295.821548800001</v>
      </c>
      <c r="L199" s="34">
        <f t="shared" si="105"/>
        <v>2295.821548800001</v>
      </c>
      <c r="M199" s="34">
        <f t="shared" si="105"/>
        <v>2295.821548800001</v>
      </c>
      <c r="N199" s="34">
        <f t="shared" si="105"/>
        <v>2295.821548800001</v>
      </c>
      <c r="O199" s="34"/>
      <c r="P199" s="34"/>
    </row>
    <row r="200" spans="2:16" x14ac:dyDescent="0.25">
      <c r="B200" s="59" t="s">
        <v>81</v>
      </c>
      <c r="C200" s="59">
        <f t="shared" ref="C200:N200" si="106">C199</f>
        <v>2295.821548800001</v>
      </c>
      <c r="D200" s="59">
        <f t="shared" si="106"/>
        <v>2295.821548800001</v>
      </c>
      <c r="E200" s="59">
        <f t="shared" si="106"/>
        <v>2295.821548800001</v>
      </c>
      <c r="F200" s="59">
        <f t="shared" si="106"/>
        <v>2295.821548800001</v>
      </c>
      <c r="G200" s="59">
        <f t="shared" si="106"/>
        <v>2295.821548800001</v>
      </c>
      <c r="H200" s="59">
        <f t="shared" si="106"/>
        <v>2295.821548800001</v>
      </c>
      <c r="I200" s="59">
        <f t="shared" si="106"/>
        <v>2295.821548800001</v>
      </c>
      <c r="J200" s="59">
        <f t="shared" si="106"/>
        <v>2295.821548800001</v>
      </c>
      <c r="K200" s="59">
        <f t="shared" si="106"/>
        <v>2295.821548800001</v>
      </c>
      <c r="L200" s="59">
        <f t="shared" si="106"/>
        <v>2295.821548800001</v>
      </c>
      <c r="M200" s="59">
        <f t="shared" si="106"/>
        <v>2295.821548800001</v>
      </c>
      <c r="N200" s="59">
        <f t="shared" si="106"/>
        <v>2295.821548800001</v>
      </c>
      <c r="O200" s="60" t="s">
        <v>82</v>
      </c>
      <c r="P200" s="61">
        <v>0</v>
      </c>
    </row>
    <row r="203" spans="2:16" x14ac:dyDescent="0.25">
      <c r="B203" s="288" t="s">
        <v>156</v>
      </c>
      <c r="C203" s="288"/>
      <c r="D203" s="288"/>
      <c r="E203" s="288"/>
      <c r="F203" s="288"/>
      <c r="G203" s="288"/>
      <c r="H203" s="288"/>
      <c r="I203" s="288"/>
      <c r="J203" s="288"/>
      <c r="K203" s="288"/>
      <c r="L203" s="288"/>
      <c r="M203" s="288"/>
      <c r="N203" s="288"/>
      <c r="O203" s="288"/>
      <c r="P203" s="288"/>
    </row>
    <row r="204" spans="2:16" x14ac:dyDescent="0.25">
      <c r="B204" s="213"/>
      <c r="C204" s="215" t="s">
        <v>50</v>
      </c>
      <c r="D204" s="215" t="s">
        <v>51</v>
      </c>
      <c r="E204" s="215" t="s">
        <v>52</v>
      </c>
      <c r="F204" s="215" t="s">
        <v>53</v>
      </c>
      <c r="G204" s="215" t="s">
        <v>54</v>
      </c>
      <c r="H204" s="215" t="s">
        <v>55</v>
      </c>
      <c r="I204" s="215" t="s">
        <v>56</v>
      </c>
      <c r="J204" s="215" t="s">
        <v>57</v>
      </c>
      <c r="K204" s="215" t="s">
        <v>58</v>
      </c>
      <c r="L204" s="215" t="s">
        <v>59</v>
      </c>
      <c r="M204" s="215" t="s">
        <v>60</v>
      </c>
      <c r="N204" s="215" t="s">
        <v>61</v>
      </c>
      <c r="O204" s="220" t="s">
        <v>62</v>
      </c>
      <c r="P204" s="221"/>
    </row>
    <row r="205" spans="2:16" x14ac:dyDescent="0.25">
      <c r="B205" s="231"/>
      <c r="C205" s="232"/>
      <c r="D205" s="232"/>
      <c r="E205" s="232"/>
      <c r="F205" s="232"/>
      <c r="G205" s="232"/>
      <c r="H205" s="232"/>
      <c r="I205" s="232"/>
      <c r="J205" s="232"/>
      <c r="K205" s="232"/>
      <c r="L205" s="232"/>
      <c r="M205" s="232"/>
      <c r="N205" s="232"/>
      <c r="O205" s="58" t="s">
        <v>64</v>
      </c>
      <c r="P205" s="58" t="s">
        <v>65</v>
      </c>
    </row>
    <row r="206" spans="2:16" x14ac:dyDescent="0.25">
      <c r="B206" s="21" t="s">
        <v>84</v>
      </c>
      <c r="C206" s="21">
        <v>7100</v>
      </c>
      <c r="D206" s="21">
        <v>7100</v>
      </c>
      <c r="E206" s="21">
        <v>7100</v>
      </c>
      <c r="F206" s="21">
        <v>7100</v>
      </c>
      <c r="G206" s="21">
        <v>7100</v>
      </c>
      <c r="H206" s="21">
        <v>7100</v>
      </c>
      <c r="I206" s="21">
        <v>7100</v>
      </c>
      <c r="J206" s="21">
        <v>7100</v>
      </c>
      <c r="K206" s="21">
        <v>7100</v>
      </c>
      <c r="L206" s="21">
        <v>7100</v>
      </c>
      <c r="M206" s="21">
        <v>7100</v>
      </c>
      <c r="N206" s="22">
        <v>7100</v>
      </c>
      <c r="O206" s="60" t="s">
        <v>85</v>
      </c>
      <c r="P206" s="61">
        <f>SUM(C206:N206)</f>
        <v>85200</v>
      </c>
    </row>
    <row r="207" spans="2:16" x14ac:dyDescent="0.25">
      <c r="B207" s="21" t="s">
        <v>86</v>
      </c>
      <c r="C207" s="31">
        <f t="shared" ref="C207:N207" si="107">C206*20%</f>
        <v>1420</v>
      </c>
      <c r="D207" s="31">
        <f t="shared" si="107"/>
        <v>1420</v>
      </c>
      <c r="E207" s="31">
        <f t="shared" si="107"/>
        <v>1420</v>
      </c>
      <c r="F207" s="31">
        <f t="shared" si="107"/>
        <v>1420</v>
      </c>
      <c r="G207" s="31">
        <f t="shared" si="107"/>
        <v>1420</v>
      </c>
      <c r="H207" s="31">
        <f t="shared" si="107"/>
        <v>1420</v>
      </c>
      <c r="I207" s="31">
        <f t="shared" si="107"/>
        <v>1420</v>
      </c>
      <c r="J207" s="31">
        <f t="shared" si="107"/>
        <v>1420</v>
      </c>
      <c r="K207" s="31">
        <f t="shared" si="107"/>
        <v>1420</v>
      </c>
      <c r="L207" s="31">
        <f t="shared" si="107"/>
        <v>1420</v>
      </c>
      <c r="M207" s="31">
        <f t="shared" si="107"/>
        <v>1420</v>
      </c>
      <c r="N207" s="32">
        <f t="shared" si="107"/>
        <v>1420</v>
      </c>
      <c r="O207" s="114"/>
      <c r="P207" s="138"/>
    </row>
    <row r="208" spans="2:16" x14ac:dyDescent="0.25">
      <c r="B208" s="142" t="s">
        <v>223</v>
      </c>
      <c r="C208" s="21">
        <f>$P$208/12</f>
        <v>308.03571428571428</v>
      </c>
      <c r="D208" s="21">
        <f t="shared" ref="D208:N208" si="108">$P$208/12</f>
        <v>308.03571428571428</v>
      </c>
      <c r="E208" s="21">
        <f t="shared" si="108"/>
        <v>308.03571428571428</v>
      </c>
      <c r="F208" s="21">
        <f t="shared" si="108"/>
        <v>308.03571428571428</v>
      </c>
      <c r="G208" s="21">
        <f t="shared" si="108"/>
        <v>308.03571428571428</v>
      </c>
      <c r="H208" s="21">
        <f t="shared" si="108"/>
        <v>308.03571428571428</v>
      </c>
      <c r="I208" s="21">
        <f t="shared" si="108"/>
        <v>308.03571428571428</v>
      </c>
      <c r="J208" s="21">
        <f t="shared" si="108"/>
        <v>308.03571428571428</v>
      </c>
      <c r="K208" s="21">
        <f t="shared" si="108"/>
        <v>308.03571428571428</v>
      </c>
      <c r="L208" s="21">
        <f t="shared" si="108"/>
        <v>308.03571428571428</v>
      </c>
      <c r="M208" s="21">
        <f t="shared" si="108"/>
        <v>308.03571428571428</v>
      </c>
      <c r="N208" s="21">
        <f t="shared" si="108"/>
        <v>308.03571428571428</v>
      </c>
      <c r="O208" s="140"/>
      <c r="P208" s="141">
        <f>Emprunt!S6</f>
        <v>3696.4285714285711</v>
      </c>
    </row>
    <row r="209" spans="2:16" x14ac:dyDescent="0.25">
      <c r="B209" s="142" t="s">
        <v>229</v>
      </c>
      <c r="C209" s="21">
        <f>$P$209/12</f>
        <v>162.91666666666666</v>
      </c>
      <c r="D209" s="21">
        <f t="shared" ref="D209:N209" si="109">$P$209/12</f>
        <v>162.91666666666666</v>
      </c>
      <c r="E209" s="21">
        <f t="shared" si="109"/>
        <v>162.91666666666666</v>
      </c>
      <c r="F209" s="21">
        <f t="shared" si="109"/>
        <v>162.91666666666666</v>
      </c>
      <c r="G209" s="21">
        <f t="shared" si="109"/>
        <v>162.91666666666666</v>
      </c>
      <c r="H209" s="21">
        <f t="shared" si="109"/>
        <v>162.91666666666666</v>
      </c>
      <c r="I209" s="21">
        <f t="shared" si="109"/>
        <v>162.91666666666666</v>
      </c>
      <c r="J209" s="21">
        <f t="shared" si="109"/>
        <v>162.91666666666666</v>
      </c>
      <c r="K209" s="21">
        <f t="shared" si="109"/>
        <v>162.91666666666666</v>
      </c>
      <c r="L209" s="21">
        <f t="shared" si="109"/>
        <v>162.91666666666666</v>
      </c>
      <c r="M209" s="21">
        <f t="shared" si="109"/>
        <v>162.91666666666666</v>
      </c>
      <c r="N209" s="21">
        <f t="shared" si="109"/>
        <v>162.91666666666666</v>
      </c>
      <c r="O209" s="140"/>
      <c r="P209" s="141">
        <f>Emprunt!S15</f>
        <v>1954.9999999999998</v>
      </c>
    </row>
    <row r="210" spans="2:16" x14ac:dyDescent="0.25">
      <c r="B210" s="142" t="s">
        <v>231</v>
      </c>
      <c r="C210" s="21">
        <f>$P$210/12</f>
        <v>306.66666666666663</v>
      </c>
      <c r="D210" s="21">
        <f t="shared" ref="D210:N210" si="110">$P$210/12</f>
        <v>306.66666666666663</v>
      </c>
      <c r="E210" s="21">
        <f t="shared" si="110"/>
        <v>306.66666666666663</v>
      </c>
      <c r="F210" s="21">
        <f t="shared" si="110"/>
        <v>306.66666666666663</v>
      </c>
      <c r="G210" s="21">
        <f t="shared" si="110"/>
        <v>306.66666666666663</v>
      </c>
      <c r="H210" s="21">
        <f t="shared" si="110"/>
        <v>306.66666666666663</v>
      </c>
      <c r="I210" s="21">
        <f t="shared" si="110"/>
        <v>306.66666666666663</v>
      </c>
      <c r="J210" s="21">
        <f t="shared" si="110"/>
        <v>306.66666666666663</v>
      </c>
      <c r="K210" s="21">
        <f t="shared" si="110"/>
        <v>306.66666666666663</v>
      </c>
      <c r="L210" s="21">
        <f t="shared" si="110"/>
        <v>306.66666666666663</v>
      </c>
      <c r="M210" s="21">
        <f t="shared" si="110"/>
        <v>306.66666666666663</v>
      </c>
      <c r="N210" s="21">
        <f t="shared" si="110"/>
        <v>306.66666666666663</v>
      </c>
      <c r="O210" s="140"/>
      <c r="P210" s="141">
        <f>Emprunt!S28</f>
        <v>3679.9999999999995</v>
      </c>
    </row>
    <row r="211" spans="2:16" x14ac:dyDescent="0.25">
      <c r="B211" s="22" t="s">
        <v>232</v>
      </c>
      <c r="C211" s="21">
        <f t="shared" ref="C211:N211" si="111">SUM(C209:C210)*0.2</f>
        <v>93.916666666666657</v>
      </c>
      <c r="D211" s="21">
        <f t="shared" si="111"/>
        <v>93.916666666666657</v>
      </c>
      <c r="E211" s="21">
        <f t="shared" si="111"/>
        <v>93.916666666666657</v>
      </c>
      <c r="F211" s="21">
        <f t="shared" si="111"/>
        <v>93.916666666666657</v>
      </c>
      <c r="G211" s="21">
        <f t="shared" si="111"/>
        <v>93.916666666666657</v>
      </c>
      <c r="H211" s="21">
        <f t="shared" si="111"/>
        <v>93.916666666666657</v>
      </c>
      <c r="I211" s="21">
        <f t="shared" si="111"/>
        <v>93.916666666666657</v>
      </c>
      <c r="J211" s="21">
        <f t="shared" si="111"/>
        <v>93.916666666666657</v>
      </c>
      <c r="K211" s="21">
        <f t="shared" si="111"/>
        <v>93.916666666666657</v>
      </c>
      <c r="L211" s="21">
        <f t="shared" si="111"/>
        <v>93.916666666666657</v>
      </c>
      <c r="M211" s="21">
        <f t="shared" si="111"/>
        <v>93.916666666666657</v>
      </c>
      <c r="N211" s="21">
        <f t="shared" si="111"/>
        <v>93.916666666666657</v>
      </c>
      <c r="O211" s="140"/>
      <c r="P211" s="141"/>
    </row>
    <row r="212" spans="2:16" x14ac:dyDescent="0.25">
      <c r="B212" s="23" t="s">
        <v>87</v>
      </c>
      <c r="C212" s="139">
        <f>SUM(C206:C211)</f>
        <v>9391.5357142857119</v>
      </c>
      <c r="D212" s="139">
        <f t="shared" ref="D212:N212" si="112">SUM(D206:D211)</f>
        <v>9391.5357142857119</v>
      </c>
      <c r="E212" s="139">
        <f t="shared" si="112"/>
        <v>9391.5357142857119</v>
      </c>
      <c r="F212" s="139">
        <f t="shared" si="112"/>
        <v>9391.5357142857119</v>
      </c>
      <c r="G212" s="139">
        <f t="shared" si="112"/>
        <v>9391.5357142857119</v>
      </c>
      <c r="H212" s="139">
        <f t="shared" si="112"/>
        <v>9391.5357142857119</v>
      </c>
      <c r="I212" s="139">
        <f t="shared" si="112"/>
        <v>9391.5357142857119</v>
      </c>
      <c r="J212" s="139">
        <f t="shared" si="112"/>
        <v>9391.5357142857119</v>
      </c>
      <c r="K212" s="139">
        <f t="shared" si="112"/>
        <v>9391.5357142857119</v>
      </c>
      <c r="L212" s="139">
        <f t="shared" si="112"/>
        <v>9391.5357142857119</v>
      </c>
      <c r="M212" s="139">
        <f t="shared" si="112"/>
        <v>9391.5357142857119</v>
      </c>
      <c r="N212" s="139">
        <f t="shared" si="112"/>
        <v>9391.5357142857119</v>
      </c>
      <c r="O212" s="37"/>
      <c r="P212" s="37"/>
    </row>
    <row r="213" spans="2:16" x14ac:dyDescent="0.25">
      <c r="B213" s="59" t="s">
        <v>81</v>
      </c>
      <c r="C213" s="59">
        <f>C212</f>
        <v>9391.5357142857119</v>
      </c>
      <c r="D213" s="59">
        <f t="shared" ref="D213:N213" si="113">D212</f>
        <v>9391.5357142857119</v>
      </c>
      <c r="E213" s="59">
        <f t="shared" si="113"/>
        <v>9391.5357142857119</v>
      </c>
      <c r="F213" s="59">
        <f t="shared" si="113"/>
        <v>9391.5357142857119</v>
      </c>
      <c r="G213" s="59">
        <f t="shared" si="113"/>
        <v>9391.5357142857119</v>
      </c>
      <c r="H213" s="59">
        <f t="shared" si="113"/>
        <v>9391.5357142857119</v>
      </c>
      <c r="I213" s="59">
        <f t="shared" si="113"/>
        <v>9391.5357142857119</v>
      </c>
      <c r="J213" s="59">
        <f t="shared" si="113"/>
        <v>9391.5357142857119</v>
      </c>
      <c r="K213" s="59">
        <f t="shared" si="113"/>
        <v>9391.5357142857119</v>
      </c>
      <c r="L213" s="59">
        <f t="shared" si="113"/>
        <v>9391.5357142857119</v>
      </c>
      <c r="M213" s="59">
        <f t="shared" si="113"/>
        <v>9391.5357142857119</v>
      </c>
      <c r="N213" s="59">
        <f t="shared" si="113"/>
        <v>9391.5357142857119</v>
      </c>
      <c r="O213" s="47"/>
      <c r="P213" s="34"/>
    </row>
    <row r="214" spans="2:16" x14ac:dyDescent="0.25">
      <c r="B214" s="28" t="s">
        <v>89</v>
      </c>
      <c r="C214" s="21"/>
      <c r="D214" s="21"/>
      <c r="E214" s="21"/>
      <c r="F214" s="21"/>
      <c r="G214" s="21"/>
      <c r="H214" s="21"/>
      <c r="I214" s="21"/>
      <c r="J214" s="21"/>
      <c r="K214" s="21"/>
      <c r="L214" s="21"/>
      <c r="M214" s="21"/>
      <c r="N214" s="22">
        <v>7500</v>
      </c>
      <c r="O214" s="47"/>
      <c r="P214" s="48"/>
    </row>
    <row r="215" spans="2:16" x14ac:dyDescent="0.25">
      <c r="B215" s="59" t="s">
        <v>94</v>
      </c>
      <c r="C215" s="59">
        <f t="shared" ref="C215:N215" si="114">C214</f>
        <v>0</v>
      </c>
      <c r="D215" s="59">
        <f t="shared" si="114"/>
        <v>0</v>
      </c>
      <c r="E215" s="59">
        <f t="shared" si="114"/>
        <v>0</v>
      </c>
      <c r="F215" s="59">
        <f t="shared" si="114"/>
        <v>0</v>
      </c>
      <c r="G215" s="59">
        <f t="shared" si="114"/>
        <v>0</v>
      </c>
      <c r="H215" s="59">
        <f t="shared" si="114"/>
        <v>0</v>
      </c>
      <c r="I215" s="59">
        <f t="shared" si="114"/>
        <v>0</v>
      </c>
      <c r="J215" s="59">
        <f t="shared" si="114"/>
        <v>0</v>
      </c>
      <c r="K215" s="59">
        <f t="shared" si="114"/>
        <v>0</v>
      </c>
      <c r="L215" s="59">
        <f t="shared" si="114"/>
        <v>0</v>
      </c>
      <c r="M215" s="59">
        <f t="shared" si="114"/>
        <v>0</v>
      </c>
      <c r="N215" s="59">
        <f t="shared" si="114"/>
        <v>7500</v>
      </c>
      <c r="O215" s="60" t="s">
        <v>93</v>
      </c>
      <c r="P215" s="61">
        <f>SUM(C215:N215)</f>
        <v>7500</v>
      </c>
    </row>
    <row r="216" spans="2:16" x14ac:dyDescent="0.25">
      <c r="B216" s="21" t="s">
        <v>95</v>
      </c>
      <c r="C216" s="21">
        <f t="shared" ref="C216:N216" si="115">307500/12</f>
        <v>25625</v>
      </c>
      <c r="D216" s="21">
        <f t="shared" si="115"/>
        <v>25625</v>
      </c>
      <c r="E216" s="21">
        <f t="shared" si="115"/>
        <v>25625</v>
      </c>
      <c r="F216" s="21">
        <f t="shared" si="115"/>
        <v>25625</v>
      </c>
      <c r="G216" s="21">
        <f t="shared" si="115"/>
        <v>25625</v>
      </c>
      <c r="H216" s="21">
        <f t="shared" si="115"/>
        <v>25625</v>
      </c>
      <c r="I216" s="21">
        <f t="shared" si="115"/>
        <v>25625</v>
      </c>
      <c r="J216" s="21">
        <f t="shared" si="115"/>
        <v>25625</v>
      </c>
      <c r="K216" s="21">
        <f t="shared" si="115"/>
        <v>25625</v>
      </c>
      <c r="L216" s="21">
        <f t="shared" si="115"/>
        <v>25625</v>
      </c>
      <c r="M216" s="21">
        <f t="shared" si="115"/>
        <v>25625</v>
      </c>
      <c r="N216" s="22">
        <f t="shared" si="115"/>
        <v>25625</v>
      </c>
      <c r="O216" s="47"/>
      <c r="P216" s="48"/>
    </row>
    <row r="217" spans="2:16" x14ac:dyDescent="0.25">
      <c r="B217" s="59" t="s">
        <v>96</v>
      </c>
      <c r="C217" s="59">
        <f t="shared" ref="C217:N217" si="116">C216</f>
        <v>25625</v>
      </c>
      <c r="D217" s="59">
        <f t="shared" si="116"/>
        <v>25625</v>
      </c>
      <c r="E217" s="59">
        <f t="shared" si="116"/>
        <v>25625</v>
      </c>
      <c r="F217" s="59">
        <f t="shared" si="116"/>
        <v>25625</v>
      </c>
      <c r="G217" s="59">
        <f t="shared" si="116"/>
        <v>25625</v>
      </c>
      <c r="H217" s="59">
        <f t="shared" si="116"/>
        <v>25625</v>
      </c>
      <c r="I217" s="59">
        <f t="shared" si="116"/>
        <v>25625</v>
      </c>
      <c r="J217" s="59">
        <f t="shared" si="116"/>
        <v>25625</v>
      </c>
      <c r="K217" s="59">
        <f t="shared" si="116"/>
        <v>25625</v>
      </c>
      <c r="L217" s="59">
        <f t="shared" si="116"/>
        <v>25625</v>
      </c>
      <c r="M217" s="59">
        <f t="shared" si="116"/>
        <v>25625</v>
      </c>
      <c r="N217" s="59">
        <f t="shared" si="116"/>
        <v>25625</v>
      </c>
      <c r="O217" s="60" t="s">
        <v>97</v>
      </c>
      <c r="P217" s="61">
        <f>SUM(C217:N217)</f>
        <v>307500</v>
      </c>
    </row>
    <row r="218" spans="2:16" x14ac:dyDescent="0.25">
      <c r="B218" s="21" t="s">
        <v>21</v>
      </c>
      <c r="C218" s="21">
        <f t="shared" ref="C218:N218" si="117">C216*0.4</f>
        <v>10250</v>
      </c>
      <c r="D218" s="21">
        <f t="shared" si="117"/>
        <v>10250</v>
      </c>
      <c r="E218" s="21">
        <f t="shared" si="117"/>
        <v>10250</v>
      </c>
      <c r="F218" s="21">
        <f t="shared" si="117"/>
        <v>10250</v>
      </c>
      <c r="G218" s="21">
        <f t="shared" si="117"/>
        <v>10250</v>
      </c>
      <c r="H218" s="21">
        <f t="shared" si="117"/>
        <v>10250</v>
      </c>
      <c r="I218" s="21">
        <f t="shared" si="117"/>
        <v>10250</v>
      </c>
      <c r="J218" s="21">
        <f t="shared" si="117"/>
        <v>10250</v>
      </c>
      <c r="K218" s="21">
        <f t="shared" si="117"/>
        <v>10250</v>
      </c>
      <c r="L218" s="21">
        <f t="shared" si="117"/>
        <v>10250</v>
      </c>
      <c r="M218" s="21">
        <f t="shared" si="117"/>
        <v>10250</v>
      </c>
      <c r="N218" s="22">
        <f t="shared" si="117"/>
        <v>10250</v>
      </c>
      <c r="O218" s="60" t="s">
        <v>98</v>
      </c>
      <c r="P218" s="61">
        <f>SUM(C218:N218)</f>
        <v>123000</v>
      </c>
    </row>
    <row r="219" spans="2:16" x14ac:dyDescent="0.25">
      <c r="B219" s="59" t="s">
        <v>99</v>
      </c>
      <c r="C219" s="59">
        <f>P127</f>
        <v>10250</v>
      </c>
      <c r="D219" s="59">
        <f t="shared" ref="D219:N219" si="118">C218</f>
        <v>10250</v>
      </c>
      <c r="E219" s="59">
        <f t="shared" si="118"/>
        <v>10250</v>
      </c>
      <c r="F219" s="59">
        <f t="shared" si="118"/>
        <v>10250</v>
      </c>
      <c r="G219" s="59">
        <f t="shared" si="118"/>
        <v>10250</v>
      </c>
      <c r="H219" s="59">
        <f t="shared" si="118"/>
        <v>10250</v>
      </c>
      <c r="I219" s="59">
        <f t="shared" si="118"/>
        <v>10250</v>
      </c>
      <c r="J219" s="59">
        <f t="shared" si="118"/>
        <v>10250</v>
      </c>
      <c r="K219" s="59">
        <f t="shared" si="118"/>
        <v>10250</v>
      </c>
      <c r="L219" s="59">
        <f t="shared" si="118"/>
        <v>10250</v>
      </c>
      <c r="M219" s="59">
        <f t="shared" si="118"/>
        <v>10250</v>
      </c>
      <c r="N219" s="59">
        <f t="shared" si="118"/>
        <v>10250</v>
      </c>
      <c r="O219" s="60" t="s">
        <v>100</v>
      </c>
      <c r="P219" s="61">
        <f>N218</f>
        <v>10250</v>
      </c>
    </row>
    <row r="222" spans="2:16" x14ac:dyDescent="0.25">
      <c r="B222" s="288" t="s">
        <v>160</v>
      </c>
      <c r="C222" s="288"/>
      <c r="D222" s="288"/>
      <c r="E222" s="288"/>
      <c r="F222" s="288"/>
      <c r="G222" s="288"/>
      <c r="H222" s="288"/>
      <c r="I222" s="288"/>
      <c r="J222" s="288"/>
      <c r="K222" s="288"/>
      <c r="L222" s="288"/>
      <c r="M222" s="288"/>
      <c r="N222" s="288"/>
      <c r="O222" s="288"/>
      <c r="P222" s="288"/>
    </row>
    <row r="223" spans="2:16" x14ac:dyDescent="0.25">
      <c r="B223" s="213"/>
      <c r="C223" s="215" t="s">
        <v>50</v>
      </c>
      <c r="D223" s="215" t="s">
        <v>51</v>
      </c>
      <c r="E223" s="215" t="s">
        <v>52</v>
      </c>
      <c r="F223" s="215" t="s">
        <v>53</v>
      </c>
      <c r="G223" s="215" t="s">
        <v>54</v>
      </c>
      <c r="H223" s="215" t="s">
        <v>55</v>
      </c>
      <c r="I223" s="215" t="s">
        <v>56</v>
      </c>
      <c r="J223" s="215" t="s">
        <v>57</v>
      </c>
      <c r="K223" s="215" t="s">
        <v>58</v>
      </c>
      <c r="L223" s="215" t="s">
        <v>59</v>
      </c>
      <c r="M223" s="215" t="s">
        <v>60</v>
      </c>
      <c r="N223" s="215" t="s">
        <v>61</v>
      </c>
      <c r="O223" s="220" t="s">
        <v>62</v>
      </c>
      <c r="P223" s="221"/>
    </row>
    <row r="224" spans="2:16" x14ac:dyDescent="0.25">
      <c r="B224" s="214"/>
      <c r="C224" s="216"/>
      <c r="D224" s="216"/>
      <c r="E224" s="216"/>
      <c r="F224" s="216"/>
      <c r="G224" s="216"/>
      <c r="H224" s="216"/>
      <c r="I224" s="216"/>
      <c r="J224" s="216"/>
      <c r="K224" s="216"/>
      <c r="L224" s="216"/>
      <c r="M224" s="216"/>
      <c r="N224" s="216"/>
      <c r="O224" s="58" t="s">
        <v>64</v>
      </c>
      <c r="P224" s="58" t="s">
        <v>65</v>
      </c>
    </row>
    <row r="225" spans="2:16" x14ac:dyDescent="0.25">
      <c r="B225" s="46" t="s">
        <v>102</v>
      </c>
      <c r="C225" s="35"/>
      <c r="D225" s="35"/>
      <c r="E225" s="35"/>
      <c r="F225" s="35"/>
      <c r="G225" s="35"/>
      <c r="H225" s="35"/>
      <c r="I225" s="35"/>
      <c r="J225" s="35"/>
      <c r="K225" s="35"/>
      <c r="L225" s="35">
        <v>8200</v>
      </c>
      <c r="M225" s="35"/>
      <c r="N225" s="35"/>
      <c r="O225" s="60" t="s">
        <v>103</v>
      </c>
      <c r="P225" s="61">
        <f>SUM(C225:N225)</f>
        <v>8200</v>
      </c>
    </row>
    <row r="226" spans="2:16" x14ac:dyDescent="0.25">
      <c r="B226" s="34" t="s">
        <v>105</v>
      </c>
      <c r="C226" s="34"/>
      <c r="D226" s="34"/>
      <c r="E226" s="34"/>
      <c r="F226" s="34"/>
      <c r="G226" s="34"/>
      <c r="H226" s="34"/>
      <c r="I226" s="34"/>
      <c r="J226" s="34"/>
      <c r="K226" s="34"/>
      <c r="L226" s="34">
        <v>8200</v>
      </c>
      <c r="M226" s="34"/>
      <c r="N226" s="34"/>
      <c r="O226" s="34"/>
      <c r="P226" s="34"/>
    </row>
    <row r="227" spans="2:16" x14ac:dyDescent="0.25">
      <c r="B227" s="34" t="s">
        <v>106</v>
      </c>
      <c r="C227" s="34">
        <f>Informations!$D15/12</f>
        <v>116.66666666666669</v>
      </c>
      <c r="D227" s="34">
        <f>Informations!$D15/12</f>
        <v>116.66666666666669</v>
      </c>
      <c r="E227" s="34">
        <f>Informations!$D15/12</f>
        <v>116.66666666666669</v>
      </c>
      <c r="F227" s="34">
        <f>Informations!$D15/12</f>
        <v>116.66666666666669</v>
      </c>
      <c r="G227" s="34">
        <f>Informations!$D15/12</f>
        <v>116.66666666666669</v>
      </c>
      <c r="H227" s="34">
        <f>Informations!$D15/12</f>
        <v>116.66666666666669</v>
      </c>
      <c r="I227" s="34">
        <f>Informations!$D15/12</f>
        <v>116.66666666666669</v>
      </c>
      <c r="J227" s="34">
        <f>Informations!$D15/12</f>
        <v>116.66666666666669</v>
      </c>
      <c r="K227" s="34">
        <f>Informations!$D15/12</f>
        <v>116.66666666666669</v>
      </c>
      <c r="L227" s="34">
        <f>Informations!$D15/12</f>
        <v>116.66666666666669</v>
      </c>
      <c r="M227" s="34">
        <f>Informations!$D15/12</f>
        <v>116.66666666666669</v>
      </c>
      <c r="N227" s="34">
        <f>Informations!$D15/12</f>
        <v>116.66666666666669</v>
      </c>
      <c r="O227" s="60" t="s">
        <v>107</v>
      </c>
      <c r="P227" s="61">
        <f>Informations!D15</f>
        <v>1400.0000000000002</v>
      </c>
    </row>
    <row r="228" spans="2:16" x14ac:dyDescent="0.25">
      <c r="B228" s="34" t="s">
        <v>108</v>
      </c>
      <c r="C228" s="34">
        <f t="shared" ref="C228:N228" si="119">$P$228/12</f>
        <v>3333.3333333333335</v>
      </c>
      <c r="D228" s="34">
        <f t="shared" si="119"/>
        <v>3333.3333333333335</v>
      </c>
      <c r="E228" s="34">
        <f t="shared" si="119"/>
        <v>3333.3333333333335</v>
      </c>
      <c r="F228" s="34">
        <f t="shared" si="119"/>
        <v>3333.3333333333335</v>
      </c>
      <c r="G228" s="34">
        <f t="shared" si="119"/>
        <v>3333.3333333333335</v>
      </c>
      <c r="H228" s="34">
        <f t="shared" si="119"/>
        <v>3333.3333333333335</v>
      </c>
      <c r="I228" s="34">
        <f t="shared" si="119"/>
        <v>3333.3333333333335</v>
      </c>
      <c r="J228" s="34">
        <f t="shared" si="119"/>
        <v>3333.3333333333335</v>
      </c>
      <c r="K228" s="34">
        <f t="shared" si="119"/>
        <v>3333.3333333333335</v>
      </c>
      <c r="L228" s="34">
        <f t="shared" si="119"/>
        <v>3333.3333333333335</v>
      </c>
      <c r="M228" s="34">
        <f t="shared" si="119"/>
        <v>3333.3333333333335</v>
      </c>
      <c r="N228" s="34">
        <f t="shared" si="119"/>
        <v>3333.3333333333335</v>
      </c>
      <c r="O228" s="60" t="s">
        <v>109</v>
      </c>
      <c r="P228" s="61">
        <f>Informations!E15</f>
        <v>40000</v>
      </c>
    </row>
    <row r="229" spans="2:16" x14ac:dyDescent="0.25">
      <c r="B229" s="59" t="s">
        <v>71</v>
      </c>
      <c r="C229" s="59">
        <f t="shared" ref="C229:N229" si="120">C227+C228</f>
        <v>3450</v>
      </c>
      <c r="D229" s="59">
        <f t="shared" si="120"/>
        <v>3450</v>
      </c>
      <c r="E229" s="59">
        <f t="shared" si="120"/>
        <v>3450</v>
      </c>
      <c r="F229" s="59">
        <f t="shared" si="120"/>
        <v>3450</v>
      </c>
      <c r="G229" s="59">
        <f t="shared" si="120"/>
        <v>3450</v>
      </c>
      <c r="H229" s="59">
        <f t="shared" si="120"/>
        <v>3450</v>
      </c>
      <c r="I229" s="59">
        <f t="shared" si="120"/>
        <v>3450</v>
      </c>
      <c r="J229" s="59">
        <f t="shared" si="120"/>
        <v>3450</v>
      </c>
      <c r="K229" s="59">
        <f t="shared" si="120"/>
        <v>3450</v>
      </c>
      <c r="L229" s="59">
        <f t="shared" si="120"/>
        <v>3450</v>
      </c>
      <c r="M229" s="59">
        <f t="shared" si="120"/>
        <v>3450</v>
      </c>
      <c r="N229" s="59">
        <f t="shared" si="120"/>
        <v>3450</v>
      </c>
      <c r="O229" s="38"/>
      <c r="P229" s="38"/>
    </row>
    <row r="232" spans="2:16" x14ac:dyDescent="0.25">
      <c r="B232" s="288" t="s">
        <v>161</v>
      </c>
      <c r="C232" s="288"/>
      <c r="D232" s="288"/>
      <c r="E232" s="288"/>
      <c r="F232" s="288"/>
      <c r="G232" s="288"/>
      <c r="H232" s="288"/>
      <c r="I232" s="288"/>
      <c r="J232" s="288"/>
      <c r="K232" s="288"/>
      <c r="L232" s="288"/>
      <c r="M232" s="288"/>
      <c r="N232" s="288"/>
      <c r="O232" s="288"/>
      <c r="P232" s="288"/>
    </row>
    <row r="233" spans="2:16" x14ac:dyDescent="0.25">
      <c r="B233" s="213"/>
      <c r="C233" s="215" t="s">
        <v>50</v>
      </c>
      <c r="D233" s="215" t="s">
        <v>51</v>
      </c>
      <c r="E233" s="215" t="s">
        <v>52</v>
      </c>
      <c r="F233" s="215" t="s">
        <v>53</v>
      </c>
      <c r="G233" s="215" t="s">
        <v>54</v>
      </c>
      <c r="H233" s="215" t="s">
        <v>55</v>
      </c>
      <c r="I233" s="215" t="s">
        <v>56</v>
      </c>
      <c r="J233" s="215" t="s">
        <v>57</v>
      </c>
      <c r="K233" s="215" t="s">
        <v>58</v>
      </c>
      <c r="L233" s="215" t="s">
        <v>59</v>
      </c>
      <c r="M233" s="215" t="s">
        <v>60</v>
      </c>
      <c r="N233" s="215" t="s">
        <v>61</v>
      </c>
      <c r="O233" s="220" t="s">
        <v>62</v>
      </c>
      <c r="P233" s="221"/>
    </row>
    <row r="234" spans="2:16" x14ac:dyDescent="0.25">
      <c r="B234" s="214"/>
      <c r="C234" s="216"/>
      <c r="D234" s="216"/>
      <c r="E234" s="216"/>
      <c r="F234" s="216"/>
      <c r="G234" s="216"/>
      <c r="H234" s="216"/>
      <c r="I234" s="216"/>
      <c r="J234" s="216"/>
      <c r="K234" s="216"/>
      <c r="L234" s="216"/>
      <c r="M234" s="216"/>
      <c r="N234" s="216"/>
      <c r="O234" s="58" t="s">
        <v>64</v>
      </c>
      <c r="P234" s="58" t="s">
        <v>65</v>
      </c>
    </row>
    <row r="235" spans="2:16" x14ac:dyDescent="0.25">
      <c r="B235" s="35" t="s">
        <v>111</v>
      </c>
      <c r="C235" s="35"/>
      <c r="D235" s="35"/>
      <c r="E235" s="35"/>
      <c r="F235" s="35"/>
      <c r="G235" s="35"/>
      <c r="H235" s="35"/>
      <c r="I235" s="35"/>
      <c r="J235" s="35"/>
      <c r="K235" s="35"/>
      <c r="L235" s="35"/>
      <c r="M235" s="35"/>
      <c r="N235" s="35"/>
      <c r="O235" s="60" t="s">
        <v>112</v>
      </c>
      <c r="P235" s="61">
        <f>SUM(C235:N235)</f>
        <v>0</v>
      </c>
    </row>
    <row r="236" spans="2:16" x14ac:dyDescent="0.25">
      <c r="B236" s="34" t="s">
        <v>113</v>
      </c>
      <c r="C236" s="34">
        <f t="shared" ref="C236:N236" si="121">C235*20%</f>
        <v>0</v>
      </c>
      <c r="D236" s="34">
        <f t="shared" si="121"/>
        <v>0</v>
      </c>
      <c r="E236" s="34">
        <f t="shared" si="121"/>
        <v>0</v>
      </c>
      <c r="F236" s="34">
        <f t="shared" si="121"/>
        <v>0</v>
      </c>
      <c r="G236" s="34">
        <f t="shared" si="121"/>
        <v>0</v>
      </c>
      <c r="H236" s="34">
        <f t="shared" si="121"/>
        <v>0</v>
      </c>
      <c r="I236" s="34">
        <f t="shared" si="121"/>
        <v>0</v>
      </c>
      <c r="J236" s="34">
        <f t="shared" si="121"/>
        <v>0</v>
      </c>
      <c r="K236" s="34">
        <f t="shared" si="121"/>
        <v>0</v>
      </c>
      <c r="L236" s="34">
        <f t="shared" si="121"/>
        <v>0</v>
      </c>
      <c r="M236" s="34">
        <f t="shared" si="121"/>
        <v>0</v>
      </c>
      <c r="N236" s="34">
        <f t="shared" si="121"/>
        <v>0</v>
      </c>
      <c r="O236" s="34"/>
      <c r="P236" s="34"/>
    </row>
    <row r="237" spans="2:16" x14ac:dyDescent="0.25">
      <c r="B237" s="34" t="s">
        <v>114</v>
      </c>
      <c r="C237" s="34">
        <f t="shared" ref="C237:N237" si="122">C235+C236</f>
        <v>0</v>
      </c>
      <c r="D237" s="34">
        <f t="shared" si="122"/>
        <v>0</v>
      </c>
      <c r="E237" s="34">
        <f t="shared" si="122"/>
        <v>0</v>
      </c>
      <c r="F237" s="34">
        <f t="shared" si="122"/>
        <v>0</v>
      </c>
      <c r="G237" s="34">
        <f t="shared" si="122"/>
        <v>0</v>
      </c>
      <c r="H237" s="34">
        <f t="shared" si="122"/>
        <v>0</v>
      </c>
      <c r="I237" s="34">
        <f t="shared" si="122"/>
        <v>0</v>
      </c>
      <c r="J237" s="34">
        <f t="shared" si="122"/>
        <v>0</v>
      </c>
      <c r="K237" s="34">
        <f t="shared" si="122"/>
        <v>0</v>
      </c>
      <c r="L237" s="34">
        <f t="shared" si="122"/>
        <v>0</v>
      </c>
      <c r="M237" s="34">
        <f t="shared" si="122"/>
        <v>0</v>
      </c>
      <c r="N237" s="34">
        <f t="shared" si="122"/>
        <v>0</v>
      </c>
      <c r="O237" s="34"/>
      <c r="P237" s="34"/>
    </row>
    <row r="238" spans="2:16" x14ac:dyDescent="0.25">
      <c r="B238" s="59" t="s">
        <v>81</v>
      </c>
      <c r="C238" s="59">
        <f t="shared" ref="C238:N238" si="123">C237</f>
        <v>0</v>
      </c>
      <c r="D238" s="59">
        <f t="shared" si="123"/>
        <v>0</v>
      </c>
      <c r="E238" s="59">
        <f t="shared" si="123"/>
        <v>0</v>
      </c>
      <c r="F238" s="59">
        <f t="shared" si="123"/>
        <v>0</v>
      </c>
      <c r="G238" s="59">
        <f t="shared" si="123"/>
        <v>0</v>
      </c>
      <c r="H238" s="59">
        <f t="shared" si="123"/>
        <v>0</v>
      </c>
      <c r="I238" s="59">
        <f t="shared" si="123"/>
        <v>0</v>
      </c>
      <c r="J238" s="59">
        <f t="shared" si="123"/>
        <v>0</v>
      </c>
      <c r="K238" s="59">
        <f t="shared" si="123"/>
        <v>0</v>
      </c>
      <c r="L238" s="59">
        <f t="shared" si="123"/>
        <v>0</v>
      </c>
      <c r="M238" s="59">
        <f t="shared" si="123"/>
        <v>0</v>
      </c>
      <c r="N238" s="59">
        <f t="shared" si="123"/>
        <v>0</v>
      </c>
      <c r="O238" s="60" t="s">
        <v>220</v>
      </c>
      <c r="P238" s="61">
        <v>0</v>
      </c>
    </row>
    <row r="239" spans="2:16" x14ac:dyDescent="0.25">
      <c r="C239" s="20" t="s">
        <v>149</v>
      </c>
    </row>
    <row r="241" spans="2:31" x14ac:dyDescent="0.25">
      <c r="B241" s="288" t="s">
        <v>162</v>
      </c>
      <c r="C241" s="288"/>
      <c r="D241" s="288"/>
      <c r="E241" s="288"/>
      <c r="F241" s="288"/>
      <c r="G241" s="288"/>
      <c r="H241" s="288"/>
      <c r="I241" s="288"/>
      <c r="J241" s="288"/>
      <c r="K241" s="288"/>
      <c r="L241" s="288"/>
      <c r="M241" s="288"/>
      <c r="N241" s="288"/>
      <c r="O241" s="288"/>
      <c r="P241" s="288"/>
    </row>
    <row r="242" spans="2:31" x14ac:dyDescent="0.25">
      <c r="B242" s="213"/>
      <c r="C242" s="215" t="s">
        <v>50</v>
      </c>
      <c r="D242" s="215" t="s">
        <v>51</v>
      </c>
      <c r="E242" s="215" t="s">
        <v>52</v>
      </c>
      <c r="F242" s="215" t="s">
        <v>53</v>
      </c>
      <c r="G242" s="215" t="s">
        <v>54</v>
      </c>
      <c r="H242" s="215" t="s">
        <v>55</v>
      </c>
      <c r="I242" s="215" t="s">
        <v>56</v>
      </c>
      <c r="J242" s="215" t="s">
        <v>57</v>
      </c>
      <c r="K242" s="215" t="s">
        <v>58</v>
      </c>
      <c r="L242" s="215" t="s">
        <v>59</v>
      </c>
      <c r="M242" s="215" t="s">
        <v>60</v>
      </c>
      <c r="N242" s="215" t="s">
        <v>61</v>
      </c>
      <c r="O242" s="220" t="s">
        <v>62</v>
      </c>
      <c r="P242" s="221"/>
    </row>
    <row r="243" spans="2:31" x14ac:dyDescent="0.25">
      <c r="B243" s="214"/>
      <c r="C243" s="216"/>
      <c r="D243" s="216"/>
      <c r="E243" s="216"/>
      <c r="F243" s="216"/>
      <c r="G243" s="216"/>
      <c r="H243" s="216"/>
      <c r="I243" s="216"/>
      <c r="J243" s="216"/>
      <c r="K243" s="216"/>
      <c r="L243" s="216"/>
      <c r="M243" s="216"/>
      <c r="N243" s="216"/>
      <c r="O243" s="58" t="s">
        <v>64</v>
      </c>
      <c r="P243" s="58" t="s">
        <v>65</v>
      </c>
      <c r="S243" s="283" t="s">
        <v>203</v>
      </c>
      <c r="T243" s="283" t="s">
        <v>50</v>
      </c>
      <c r="U243" s="283" t="s">
        <v>51</v>
      </c>
      <c r="V243" s="283" t="s">
        <v>52</v>
      </c>
      <c r="W243" s="283" t="s">
        <v>53</v>
      </c>
      <c r="X243" s="283" t="s">
        <v>54</v>
      </c>
      <c r="Y243" s="283" t="s">
        <v>55</v>
      </c>
      <c r="Z243" s="283" t="s">
        <v>56</v>
      </c>
      <c r="AA243" s="283" t="s">
        <v>57</v>
      </c>
      <c r="AB243" s="283" t="s">
        <v>58</v>
      </c>
      <c r="AC243" s="283" t="s">
        <v>59</v>
      </c>
      <c r="AD243" s="283" t="s">
        <v>60</v>
      </c>
      <c r="AE243" s="283" t="s">
        <v>61</v>
      </c>
    </row>
    <row r="244" spans="2:31" x14ac:dyDescent="0.25">
      <c r="B244" s="59" t="s">
        <v>68</v>
      </c>
      <c r="C244" s="59">
        <f t="shared" ref="C244:N244" si="124">C189</f>
        <v>1125.4027200000005</v>
      </c>
      <c r="D244" s="59">
        <f t="shared" si="124"/>
        <v>1125.4027200000005</v>
      </c>
      <c r="E244" s="59">
        <f t="shared" si="124"/>
        <v>1125.4027200000005</v>
      </c>
      <c r="F244" s="59">
        <f t="shared" si="124"/>
        <v>1125.4027200000005</v>
      </c>
      <c r="G244" s="59">
        <f t="shared" si="124"/>
        <v>1125.4027200000005</v>
      </c>
      <c r="H244" s="59">
        <f t="shared" si="124"/>
        <v>1125.4027200000005</v>
      </c>
      <c r="I244" s="59">
        <f t="shared" si="124"/>
        <v>1125.4027200000005</v>
      </c>
      <c r="J244" s="59">
        <f t="shared" si="124"/>
        <v>1125.4027200000005</v>
      </c>
      <c r="K244" s="59">
        <f t="shared" si="124"/>
        <v>1125.4027200000005</v>
      </c>
      <c r="L244" s="59">
        <f t="shared" si="124"/>
        <v>1125.4027200000005</v>
      </c>
      <c r="M244" s="59">
        <f t="shared" si="124"/>
        <v>1125.4027200000005</v>
      </c>
      <c r="N244" s="59">
        <f t="shared" si="124"/>
        <v>1125.4027200000005</v>
      </c>
      <c r="O244" s="34"/>
      <c r="P244" s="34"/>
      <c r="S244" s="283"/>
      <c r="T244" s="283"/>
      <c r="U244" s="283"/>
      <c r="V244" s="283"/>
      <c r="W244" s="283"/>
      <c r="X244" s="283"/>
      <c r="Y244" s="283"/>
      <c r="Z244" s="283"/>
      <c r="AA244" s="283"/>
      <c r="AB244" s="283"/>
      <c r="AC244" s="283"/>
      <c r="AD244" s="283"/>
      <c r="AE244" s="283"/>
    </row>
    <row r="245" spans="2:31" x14ac:dyDescent="0.25">
      <c r="B245" s="34" t="s">
        <v>79</v>
      </c>
      <c r="C245" s="34">
        <f t="shared" ref="C245:N245" si="125">C198</f>
        <v>382.6369248000002</v>
      </c>
      <c r="D245" s="34">
        <f t="shared" si="125"/>
        <v>382.6369248000002</v>
      </c>
      <c r="E245" s="34">
        <f t="shared" si="125"/>
        <v>382.6369248000002</v>
      </c>
      <c r="F245" s="34">
        <f t="shared" si="125"/>
        <v>382.6369248000002</v>
      </c>
      <c r="G245" s="34">
        <f t="shared" si="125"/>
        <v>382.6369248000002</v>
      </c>
      <c r="H245" s="34">
        <f t="shared" si="125"/>
        <v>382.6369248000002</v>
      </c>
      <c r="I245" s="34">
        <f t="shared" si="125"/>
        <v>382.6369248000002</v>
      </c>
      <c r="J245" s="34">
        <f t="shared" si="125"/>
        <v>382.6369248000002</v>
      </c>
      <c r="K245" s="34">
        <f t="shared" si="125"/>
        <v>382.6369248000002</v>
      </c>
      <c r="L245" s="34">
        <f t="shared" si="125"/>
        <v>382.6369248000002</v>
      </c>
      <c r="M245" s="34">
        <f t="shared" si="125"/>
        <v>382.6369248000002</v>
      </c>
      <c r="N245" s="34">
        <f t="shared" si="125"/>
        <v>382.6369248000002</v>
      </c>
      <c r="O245" s="34"/>
      <c r="P245" s="34"/>
      <c r="S245" s="59" t="s">
        <v>204</v>
      </c>
      <c r="T245" s="59">
        <f t="shared" ref="T245:AE245" si="126">C258</f>
        <v>6555.7439999999997</v>
      </c>
      <c r="U245" s="59">
        <f t="shared" si="126"/>
        <v>6752.4163200000021</v>
      </c>
      <c r="V245" s="59">
        <f t="shared" si="126"/>
        <v>6752.4163200000021</v>
      </c>
      <c r="W245" s="59">
        <f t="shared" si="126"/>
        <v>6752.4163200000021</v>
      </c>
      <c r="X245" s="59">
        <f t="shared" si="126"/>
        <v>6752.4163200000021</v>
      </c>
      <c r="Y245" s="59">
        <f t="shared" si="126"/>
        <v>6752.4163200000021</v>
      </c>
      <c r="Z245" s="59">
        <f t="shared" si="126"/>
        <v>6752.4163200000021</v>
      </c>
      <c r="AA245" s="59">
        <f t="shared" si="126"/>
        <v>6752.4163200000021</v>
      </c>
      <c r="AB245" s="59">
        <f t="shared" si="126"/>
        <v>6752.4163200000021</v>
      </c>
      <c r="AC245" s="59">
        <f t="shared" si="126"/>
        <v>6752.4163200000021</v>
      </c>
      <c r="AD245" s="59">
        <f t="shared" si="126"/>
        <v>6752.4163200000021</v>
      </c>
      <c r="AE245" s="59">
        <f t="shared" si="126"/>
        <v>6752.4163200000021</v>
      </c>
    </row>
    <row r="246" spans="2:31" x14ac:dyDescent="0.25">
      <c r="B246" s="34" t="s">
        <v>86</v>
      </c>
      <c r="C246" s="34">
        <f>C207+C211</f>
        <v>1513.9166666666667</v>
      </c>
      <c r="D246" s="34">
        <f t="shared" ref="D246:N246" si="127">D207+D211</f>
        <v>1513.9166666666667</v>
      </c>
      <c r="E246" s="34">
        <f t="shared" si="127"/>
        <v>1513.9166666666667</v>
      </c>
      <c r="F246" s="34">
        <f t="shared" si="127"/>
        <v>1513.9166666666667</v>
      </c>
      <c r="G246" s="34">
        <f t="shared" si="127"/>
        <v>1513.9166666666667</v>
      </c>
      <c r="H246" s="34">
        <f t="shared" si="127"/>
        <v>1513.9166666666667</v>
      </c>
      <c r="I246" s="34">
        <f t="shared" si="127"/>
        <v>1513.9166666666667</v>
      </c>
      <c r="J246" s="34">
        <f t="shared" si="127"/>
        <v>1513.9166666666667</v>
      </c>
      <c r="K246" s="34">
        <f t="shared" si="127"/>
        <v>1513.9166666666667</v>
      </c>
      <c r="L246" s="34">
        <f t="shared" si="127"/>
        <v>1513.9166666666667</v>
      </c>
      <c r="M246" s="34">
        <f t="shared" si="127"/>
        <v>1513.9166666666667</v>
      </c>
      <c r="N246" s="34">
        <f t="shared" si="127"/>
        <v>1513.9166666666667</v>
      </c>
      <c r="O246" s="34"/>
      <c r="P246" s="34"/>
      <c r="S246" s="34" t="s">
        <v>205</v>
      </c>
      <c r="T246" s="34"/>
      <c r="U246" s="34"/>
      <c r="V246" s="34"/>
      <c r="W246" s="34"/>
      <c r="X246" s="34"/>
      <c r="Y246" s="34"/>
      <c r="Z246" s="34"/>
      <c r="AA246" s="34"/>
      <c r="AB246" s="34"/>
      <c r="AC246" s="34"/>
      <c r="AD246" s="34"/>
      <c r="AE246" s="34"/>
    </row>
    <row r="247" spans="2:31" x14ac:dyDescent="0.25">
      <c r="B247" s="59" t="s">
        <v>113</v>
      </c>
      <c r="C247" s="59">
        <f t="shared" ref="C247:N247" si="128">C236</f>
        <v>0</v>
      </c>
      <c r="D247" s="59">
        <f t="shared" si="128"/>
        <v>0</v>
      </c>
      <c r="E247" s="59">
        <f t="shared" si="128"/>
        <v>0</v>
      </c>
      <c r="F247" s="59">
        <f t="shared" si="128"/>
        <v>0</v>
      </c>
      <c r="G247" s="59">
        <f t="shared" si="128"/>
        <v>0</v>
      </c>
      <c r="H247" s="59">
        <f t="shared" si="128"/>
        <v>0</v>
      </c>
      <c r="I247" s="59">
        <f t="shared" si="128"/>
        <v>0</v>
      </c>
      <c r="J247" s="59">
        <f t="shared" si="128"/>
        <v>0</v>
      </c>
      <c r="K247" s="59">
        <f t="shared" si="128"/>
        <v>0</v>
      </c>
      <c r="L247" s="59">
        <f t="shared" si="128"/>
        <v>0</v>
      </c>
      <c r="M247" s="59">
        <f t="shared" si="128"/>
        <v>0</v>
      </c>
      <c r="N247" s="59">
        <f t="shared" si="128"/>
        <v>0</v>
      </c>
      <c r="O247" s="34"/>
      <c r="P247" s="34"/>
      <c r="S247" s="34" t="s">
        <v>206</v>
      </c>
      <c r="T247" s="34"/>
      <c r="U247" s="34"/>
      <c r="V247" s="34"/>
      <c r="W247" s="34"/>
      <c r="X247" s="34"/>
      <c r="Y247" s="34"/>
      <c r="Z247" s="34"/>
      <c r="AA247" s="34"/>
      <c r="AB247" s="34"/>
      <c r="AC247" s="34"/>
      <c r="AD247" s="34"/>
      <c r="AE247" s="34"/>
    </row>
    <row r="248" spans="2:31" x14ac:dyDescent="0.25">
      <c r="B248" s="44" t="s">
        <v>117</v>
      </c>
      <c r="C248" s="42">
        <f t="shared" ref="C248:N248" si="129">C245+C246+C247</f>
        <v>1896.5535914666671</v>
      </c>
      <c r="D248" s="42">
        <f t="shared" si="129"/>
        <v>1896.5535914666671</v>
      </c>
      <c r="E248" s="42">
        <f t="shared" si="129"/>
        <v>1896.5535914666671</v>
      </c>
      <c r="F248" s="42">
        <f t="shared" si="129"/>
        <v>1896.5535914666671</v>
      </c>
      <c r="G248" s="42">
        <f t="shared" si="129"/>
        <v>1896.5535914666671</v>
      </c>
      <c r="H248" s="42">
        <f t="shared" si="129"/>
        <v>1896.5535914666671</v>
      </c>
      <c r="I248" s="42">
        <f t="shared" si="129"/>
        <v>1896.5535914666671</v>
      </c>
      <c r="J248" s="42">
        <f t="shared" si="129"/>
        <v>1896.5535914666671</v>
      </c>
      <c r="K248" s="42">
        <f t="shared" si="129"/>
        <v>1896.5535914666671</v>
      </c>
      <c r="L248" s="42">
        <f t="shared" si="129"/>
        <v>1896.5535914666671</v>
      </c>
      <c r="M248" s="42">
        <f t="shared" si="129"/>
        <v>1896.5535914666671</v>
      </c>
      <c r="N248" s="42">
        <f t="shared" si="129"/>
        <v>1896.5535914666671</v>
      </c>
      <c r="O248" s="34"/>
      <c r="P248" s="34"/>
      <c r="S248" s="34" t="s">
        <v>207</v>
      </c>
      <c r="T248" s="34"/>
      <c r="U248" s="34"/>
      <c r="V248" s="34"/>
      <c r="W248" s="34">
        <v>93</v>
      </c>
      <c r="X248" s="34">
        <v>459</v>
      </c>
      <c r="Y248" s="34">
        <v>485</v>
      </c>
      <c r="Z248" s="34">
        <v>486</v>
      </c>
      <c r="AA248" s="34">
        <v>486</v>
      </c>
      <c r="AB248" s="34">
        <v>487</v>
      </c>
      <c r="AC248" s="34">
        <v>8686</v>
      </c>
      <c r="AD248" s="34">
        <v>1061</v>
      </c>
      <c r="AE248" s="34">
        <v>526</v>
      </c>
    </row>
    <row r="249" spans="2:31" x14ac:dyDescent="0.25">
      <c r="B249" s="45" t="s">
        <v>118</v>
      </c>
      <c r="C249" s="43">
        <f t="shared" ref="C249:N249" si="130">C244-C248</f>
        <v>-771.15087146666656</v>
      </c>
      <c r="D249" s="43">
        <f t="shared" si="130"/>
        <v>-771.15087146666656</v>
      </c>
      <c r="E249" s="43">
        <f t="shared" si="130"/>
        <v>-771.15087146666656</v>
      </c>
      <c r="F249" s="43">
        <f t="shared" si="130"/>
        <v>-771.15087146666656</v>
      </c>
      <c r="G249" s="43">
        <f t="shared" si="130"/>
        <v>-771.15087146666656</v>
      </c>
      <c r="H249" s="43">
        <f t="shared" si="130"/>
        <v>-771.15087146666656</v>
      </c>
      <c r="I249" s="43">
        <f t="shared" si="130"/>
        <v>-771.15087146666656</v>
      </c>
      <c r="J249" s="43">
        <f t="shared" si="130"/>
        <v>-771.15087146666656</v>
      </c>
      <c r="K249" s="43">
        <f t="shared" si="130"/>
        <v>-771.15087146666656</v>
      </c>
      <c r="L249" s="43">
        <f t="shared" si="130"/>
        <v>-771.15087146666656</v>
      </c>
      <c r="M249" s="43">
        <f t="shared" si="130"/>
        <v>-771.15087146666656</v>
      </c>
      <c r="N249" s="43">
        <f t="shared" si="130"/>
        <v>-771.15087146666656</v>
      </c>
      <c r="O249" s="34"/>
      <c r="P249" s="34"/>
      <c r="S249" s="59" t="s">
        <v>210</v>
      </c>
      <c r="T249" s="59">
        <f t="shared" ref="T249:AE249" si="131">T245+T248</f>
        <v>6555.7439999999997</v>
      </c>
      <c r="U249" s="59">
        <f t="shared" si="131"/>
        <v>6752.4163200000021</v>
      </c>
      <c r="V249" s="59">
        <f t="shared" si="131"/>
        <v>6752.4163200000021</v>
      </c>
      <c r="W249" s="59">
        <f t="shared" si="131"/>
        <v>6845.4163200000021</v>
      </c>
      <c r="X249" s="59">
        <f t="shared" si="131"/>
        <v>7211.4163200000021</v>
      </c>
      <c r="Y249" s="59">
        <f t="shared" si="131"/>
        <v>7237.4163200000021</v>
      </c>
      <c r="Z249" s="59">
        <f t="shared" si="131"/>
        <v>7238.4163200000021</v>
      </c>
      <c r="AA249" s="59">
        <f t="shared" si="131"/>
        <v>7238.4163200000021</v>
      </c>
      <c r="AB249" s="59">
        <f t="shared" si="131"/>
        <v>7239.4163200000021</v>
      </c>
      <c r="AC249" s="59">
        <f t="shared" si="131"/>
        <v>15438.416320000002</v>
      </c>
      <c r="AD249" s="59">
        <f t="shared" si="131"/>
        <v>7813.4163200000021</v>
      </c>
      <c r="AE249" s="59">
        <f t="shared" si="131"/>
        <v>7278.4163200000021</v>
      </c>
    </row>
    <row r="250" spans="2:31" x14ac:dyDescent="0.25">
      <c r="B250" s="59" t="s">
        <v>81</v>
      </c>
      <c r="C250" s="59">
        <f>P158</f>
        <v>-709.59901333333323</v>
      </c>
      <c r="D250" s="59">
        <f t="shared" ref="D250:N250" si="132">C249</f>
        <v>-771.15087146666656</v>
      </c>
      <c r="E250" s="59">
        <f t="shared" si="132"/>
        <v>-771.15087146666656</v>
      </c>
      <c r="F250" s="59">
        <f t="shared" si="132"/>
        <v>-771.15087146666656</v>
      </c>
      <c r="G250" s="59">
        <f t="shared" si="132"/>
        <v>-771.15087146666656</v>
      </c>
      <c r="H250" s="59">
        <f t="shared" si="132"/>
        <v>-771.15087146666656</v>
      </c>
      <c r="I250" s="59">
        <f t="shared" si="132"/>
        <v>-771.15087146666656</v>
      </c>
      <c r="J250" s="59">
        <f t="shared" si="132"/>
        <v>-771.15087146666656</v>
      </c>
      <c r="K250" s="59">
        <f t="shared" si="132"/>
        <v>-771.15087146666656</v>
      </c>
      <c r="L250" s="59">
        <f t="shared" si="132"/>
        <v>-771.15087146666656</v>
      </c>
      <c r="M250" s="59">
        <f t="shared" si="132"/>
        <v>-771.15087146666656</v>
      </c>
      <c r="N250" s="59">
        <f t="shared" si="132"/>
        <v>-771.15087146666656</v>
      </c>
      <c r="O250" s="60" t="s">
        <v>119</v>
      </c>
      <c r="P250" s="61">
        <f>N249</f>
        <v>-771.15087146666656</v>
      </c>
      <c r="S250" s="34" t="s">
        <v>211</v>
      </c>
      <c r="T250" s="34">
        <f t="shared" ref="T250:AE250" si="133">C268</f>
        <v>50302.758249752376</v>
      </c>
      <c r="U250" s="34">
        <f t="shared" si="133"/>
        <v>50241.206391619045</v>
      </c>
      <c r="V250" s="34">
        <f t="shared" si="133"/>
        <v>50241.206391619045</v>
      </c>
      <c r="W250" s="34">
        <f t="shared" si="133"/>
        <v>50241.206391619045</v>
      </c>
      <c r="X250" s="34">
        <f t="shared" si="133"/>
        <v>50241.206391619045</v>
      </c>
      <c r="Y250" s="34">
        <f t="shared" si="133"/>
        <v>50241.206391619045</v>
      </c>
      <c r="Z250" s="34">
        <f t="shared" si="133"/>
        <v>50241.206391619045</v>
      </c>
      <c r="AA250" s="34">
        <f t="shared" si="133"/>
        <v>50241.206391619045</v>
      </c>
      <c r="AB250" s="34">
        <f t="shared" si="133"/>
        <v>50241.206391619045</v>
      </c>
      <c r="AC250" s="34">
        <f t="shared" si="133"/>
        <v>58441.206391619045</v>
      </c>
      <c r="AD250" s="34">
        <f t="shared" si="133"/>
        <v>50241.206391619045</v>
      </c>
      <c r="AE250" s="34">
        <f t="shared" si="133"/>
        <v>50241.206391619045</v>
      </c>
    </row>
    <row r="251" spans="2:31" x14ac:dyDescent="0.25">
      <c r="S251" s="34" t="s">
        <v>212</v>
      </c>
      <c r="T251" s="34"/>
      <c r="U251" s="34">
        <f>T248*0.07</f>
        <v>0</v>
      </c>
      <c r="V251" s="34">
        <f t="shared" ref="V251:AE251" si="134">U248*0.07</f>
        <v>0</v>
      </c>
      <c r="W251" s="34">
        <f t="shared" si="134"/>
        <v>0</v>
      </c>
      <c r="X251" s="34">
        <f t="shared" si="134"/>
        <v>6.5100000000000007</v>
      </c>
      <c r="Y251" s="34">
        <f t="shared" si="134"/>
        <v>32.130000000000003</v>
      </c>
      <c r="Z251" s="34">
        <f t="shared" si="134"/>
        <v>33.950000000000003</v>
      </c>
      <c r="AA251" s="34">
        <f t="shared" si="134"/>
        <v>34.020000000000003</v>
      </c>
      <c r="AB251" s="34">
        <f t="shared" si="134"/>
        <v>34.020000000000003</v>
      </c>
      <c r="AC251" s="34">
        <f t="shared" si="134"/>
        <v>34.090000000000003</v>
      </c>
      <c r="AD251" s="34">
        <f t="shared" si="134"/>
        <v>608.0200000000001</v>
      </c>
      <c r="AE251" s="34">
        <f t="shared" si="134"/>
        <v>74.27000000000001</v>
      </c>
    </row>
    <row r="252" spans="2:31" x14ac:dyDescent="0.25">
      <c r="S252" s="59" t="s">
        <v>213</v>
      </c>
      <c r="T252" s="59">
        <f t="shared" ref="T252:AE252" si="135">T250+T251</f>
        <v>50302.758249752376</v>
      </c>
      <c r="U252" s="59">
        <f t="shared" si="135"/>
        <v>50241.206391619045</v>
      </c>
      <c r="V252" s="59">
        <f t="shared" si="135"/>
        <v>50241.206391619045</v>
      </c>
      <c r="W252" s="59">
        <f t="shared" si="135"/>
        <v>50241.206391619045</v>
      </c>
      <c r="X252" s="59">
        <f t="shared" si="135"/>
        <v>50247.716391619047</v>
      </c>
      <c r="Y252" s="59">
        <f t="shared" si="135"/>
        <v>50273.336391619043</v>
      </c>
      <c r="Z252" s="59">
        <f t="shared" si="135"/>
        <v>50275.156391619043</v>
      </c>
      <c r="AA252" s="59">
        <f t="shared" si="135"/>
        <v>50275.226391619042</v>
      </c>
      <c r="AB252" s="59">
        <f t="shared" si="135"/>
        <v>50275.226391619042</v>
      </c>
      <c r="AC252" s="59">
        <f t="shared" si="135"/>
        <v>58475.296391619042</v>
      </c>
      <c r="AD252" s="59">
        <f t="shared" si="135"/>
        <v>50849.226391619042</v>
      </c>
      <c r="AE252" s="59">
        <f t="shared" si="135"/>
        <v>50315.476391619042</v>
      </c>
    </row>
    <row r="253" spans="2:31" x14ac:dyDescent="0.25">
      <c r="B253" s="288" t="s">
        <v>163</v>
      </c>
      <c r="C253" s="288"/>
      <c r="D253" s="288"/>
      <c r="E253" s="288"/>
      <c r="F253" s="288"/>
      <c r="G253" s="288"/>
      <c r="H253" s="288"/>
      <c r="I253" s="288"/>
      <c r="J253" s="288"/>
      <c r="K253" s="288"/>
      <c r="L253" s="288"/>
      <c r="M253" s="288"/>
      <c r="N253" s="288"/>
      <c r="O253" s="288"/>
      <c r="P253" s="288"/>
      <c r="S253" s="34" t="s">
        <v>132</v>
      </c>
      <c r="T253" s="34">
        <f>AE160</f>
        <v>-961266.32762285729</v>
      </c>
      <c r="U253" s="34">
        <f t="shared" ref="U253:AE253" si="136">T255</f>
        <v>-1005013.3418726097</v>
      </c>
      <c r="V253" s="34">
        <f t="shared" si="136"/>
        <v>-1048502.1319442288</v>
      </c>
      <c r="W253" s="34">
        <f t="shared" si="136"/>
        <v>-1091990.9220158479</v>
      </c>
      <c r="X253" s="34">
        <f t="shared" si="136"/>
        <v>-1135386.7120874668</v>
      </c>
      <c r="Y253" s="34">
        <f t="shared" si="136"/>
        <v>-1178423.0121590858</v>
      </c>
      <c r="Z253" s="34">
        <f t="shared" si="136"/>
        <v>-1221458.9322307049</v>
      </c>
      <c r="AA253" s="34">
        <f t="shared" si="136"/>
        <v>-1264495.6723023239</v>
      </c>
      <c r="AB253" s="34">
        <f t="shared" si="136"/>
        <v>-1307532.4823739429</v>
      </c>
      <c r="AC253" s="34">
        <f t="shared" si="136"/>
        <v>-1350568.2924455618</v>
      </c>
      <c r="AD253" s="34">
        <f t="shared" si="136"/>
        <v>-1393605.1725171809</v>
      </c>
      <c r="AE253" s="34">
        <f t="shared" si="136"/>
        <v>-1436640.9825887999</v>
      </c>
    </row>
    <row r="254" spans="2:31" x14ac:dyDescent="0.25">
      <c r="B254" s="213"/>
      <c r="C254" s="215" t="s">
        <v>50</v>
      </c>
      <c r="D254" s="215" t="s">
        <v>51</v>
      </c>
      <c r="E254" s="215" t="s">
        <v>52</v>
      </c>
      <c r="F254" s="215" t="s">
        <v>53</v>
      </c>
      <c r="G254" s="215" t="s">
        <v>54</v>
      </c>
      <c r="H254" s="215" t="s">
        <v>55</v>
      </c>
      <c r="I254" s="215" t="s">
        <v>56</v>
      </c>
      <c r="J254" s="215" t="s">
        <v>57</v>
      </c>
      <c r="K254" s="215" t="s">
        <v>58</v>
      </c>
      <c r="L254" s="215" t="s">
        <v>59</v>
      </c>
      <c r="M254" s="215" t="s">
        <v>60</v>
      </c>
      <c r="N254" s="215" t="s">
        <v>61</v>
      </c>
      <c r="O254" s="220" t="s">
        <v>62</v>
      </c>
      <c r="P254" s="221"/>
      <c r="S254" s="34" t="s">
        <v>133</v>
      </c>
      <c r="T254" s="34">
        <f t="shared" ref="T254:AE254" si="137">T249-T252</f>
        <v>-43747.014249752378</v>
      </c>
      <c r="U254" s="34">
        <f t="shared" si="137"/>
        <v>-43488.790071619042</v>
      </c>
      <c r="V254" s="34">
        <f t="shared" si="137"/>
        <v>-43488.790071619042</v>
      </c>
      <c r="W254" s="34">
        <f t="shared" si="137"/>
        <v>-43395.790071619042</v>
      </c>
      <c r="X254" s="34">
        <f t="shared" si="137"/>
        <v>-43036.300071619044</v>
      </c>
      <c r="Y254" s="34">
        <f t="shared" si="137"/>
        <v>-43035.920071619039</v>
      </c>
      <c r="Z254" s="34">
        <f t="shared" si="137"/>
        <v>-43036.740071619039</v>
      </c>
      <c r="AA254" s="34">
        <f t="shared" si="137"/>
        <v>-43036.810071619038</v>
      </c>
      <c r="AB254" s="34">
        <f t="shared" si="137"/>
        <v>-43035.810071619038</v>
      </c>
      <c r="AC254" s="34">
        <f t="shared" si="137"/>
        <v>-43036.880071619038</v>
      </c>
      <c r="AD254" s="34">
        <f t="shared" si="137"/>
        <v>-43035.810071619038</v>
      </c>
      <c r="AE254" s="34">
        <f t="shared" si="137"/>
        <v>-43037.060071619038</v>
      </c>
    </row>
    <row r="255" spans="2:31" x14ac:dyDescent="0.25">
      <c r="B255" s="214"/>
      <c r="C255" s="216"/>
      <c r="D255" s="216"/>
      <c r="E255" s="216"/>
      <c r="F255" s="216"/>
      <c r="G255" s="216"/>
      <c r="H255" s="216"/>
      <c r="I255" s="216"/>
      <c r="J255" s="216"/>
      <c r="K255" s="216"/>
      <c r="L255" s="216"/>
      <c r="M255" s="216"/>
      <c r="N255" s="216"/>
      <c r="O255" s="58" t="s">
        <v>64</v>
      </c>
      <c r="P255" s="58" t="s">
        <v>65</v>
      </c>
      <c r="S255" s="34" t="s">
        <v>214</v>
      </c>
      <c r="T255" s="34">
        <f t="shared" ref="T255:AE255" si="138">T253+T254</f>
        <v>-1005013.3418726097</v>
      </c>
      <c r="U255" s="34">
        <f t="shared" si="138"/>
        <v>-1048502.1319442288</v>
      </c>
      <c r="V255" s="34">
        <f t="shared" si="138"/>
        <v>-1091990.9220158479</v>
      </c>
      <c r="W255" s="34">
        <f t="shared" si="138"/>
        <v>-1135386.7120874668</v>
      </c>
      <c r="X255" s="34">
        <f t="shared" si="138"/>
        <v>-1178423.0121590858</v>
      </c>
      <c r="Y255" s="34">
        <f t="shared" si="138"/>
        <v>-1221458.9322307049</v>
      </c>
      <c r="Z255" s="34">
        <f t="shared" si="138"/>
        <v>-1264495.6723023239</v>
      </c>
      <c r="AA255" s="34">
        <f t="shared" si="138"/>
        <v>-1307532.4823739429</v>
      </c>
      <c r="AB255" s="34">
        <f t="shared" si="138"/>
        <v>-1350568.2924455618</v>
      </c>
      <c r="AC255" s="34">
        <f t="shared" si="138"/>
        <v>-1393605.1725171809</v>
      </c>
      <c r="AD255" s="34">
        <f t="shared" si="138"/>
        <v>-1436640.9825887999</v>
      </c>
      <c r="AE255" s="34">
        <f t="shared" si="138"/>
        <v>-1479678.0426604189</v>
      </c>
    </row>
    <row r="256" spans="2:31" x14ac:dyDescent="0.25">
      <c r="B256" s="35" t="s">
        <v>121</v>
      </c>
      <c r="C256" s="35">
        <f t="shared" ref="C256:N256" si="139">C191</f>
        <v>6555.7439999999997</v>
      </c>
      <c r="D256" s="35">
        <f t="shared" si="139"/>
        <v>6752.4163200000021</v>
      </c>
      <c r="E256" s="35">
        <f t="shared" si="139"/>
        <v>6752.4163200000021</v>
      </c>
      <c r="F256" s="35">
        <f t="shared" si="139"/>
        <v>6752.4163200000021</v>
      </c>
      <c r="G256" s="35">
        <f t="shared" si="139"/>
        <v>6752.4163200000021</v>
      </c>
      <c r="H256" s="35">
        <f t="shared" si="139"/>
        <v>6752.4163200000021</v>
      </c>
      <c r="I256" s="35">
        <f t="shared" si="139"/>
        <v>6752.4163200000021</v>
      </c>
      <c r="J256" s="43">
        <f t="shared" si="139"/>
        <v>6752.4163200000021</v>
      </c>
      <c r="K256" s="35">
        <f t="shared" si="139"/>
        <v>6752.4163200000021</v>
      </c>
      <c r="L256" s="35">
        <f t="shared" si="139"/>
        <v>6752.4163200000021</v>
      </c>
      <c r="M256" s="35">
        <f t="shared" si="139"/>
        <v>6752.4163200000021</v>
      </c>
      <c r="N256" s="35">
        <f t="shared" si="139"/>
        <v>6752.4163200000021</v>
      </c>
      <c r="O256" s="34"/>
      <c r="P256" s="34"/>
    </row>
    <row r="257" spans="2:31" x14ac:dyDescent="0.25">
      <c r="B257" s="34" t="s">
        <v>122</v>
      </c>
      <c r="C257" s="34"/>
      <c r="D257" s="34"/>
      <c r="E257" s="34"/>
      <c r="F257" s="34"/>
      <c r="G257" s="34"/>
      <c r="H257" s="34"/>
      <c r="I257" s="34"/>
      <c r="J257" s="34"/>
      <c r="K257" s="34"/>
      <c r="L257" s="34"/>
      <c r="M257" s="34"/>
      <c r="N257" s="34"/>
      <c r="O257" s="34"/>
      <c r="P257" s="34"/>
    </row>
    <row r="258" spans="2:31" x14ac:dyDescent="0.25">
      <c r="B258" s="59" t="s">
        <v>123</v>
      </c>
      <c r="C258" s="59">
        <f t="shared" ref="C258:N258" si="140">C257+C256</f>
        <v>6555.7439999999997</v>
      </c>
      <c r="D258" s="59">
        <f t="shared" si="140"/>
        <v>6752.4163200000021</v>
      </c>
      <c r="E258" s="59">
        <f t="shared" si="140"/>
        <v>6752.4163200000021</v>
      </c>
      <c r="F258" s="59">
        <f t="shared" si="140"/>
        <v>6752.4163200000021</v>
      </c>
      <c r="G258" s="59">
        <f t="shared" si="140"/>
        <v>6752.4163200000021</v>
      </c>
      <c r="H258" s="59">
        <f t="shared" si="140"/>
        <v>6752.4163200000021</v>
      </c>
      <c r="I258" s="59">
        <f t="shared" si="140"/>
        <v>6752.4163200000021</v>
      </c>
      <c r="J258" s="59">
        <f t="shared" si="140"/>
        <v>6752.4163200000021</v>
      </c>
      <c r="K258" s="59">
        <f t="shared" si="140"/>
        <v>6752.4163200000021</v>
      </c>
      <c r="L258" s="59">
        <f t="shared" si="140"/>
        <v>6752.4163200000021</v>
      </c>
      <c r="M258" s="59">
        <f t="shared" si="140"/>
        <v>6752.4163200000021</v>
      </c>
      <c r="N258" s="59">
        <f t="shared" si="140"/>
        <v>6752.4163200000021</v>
      </c>
      <c r="O258" s="34"/>
      <c r="P258" s="34"/>
    </row>
    <row r="259" spans="2:31" x14ac:dyDescent="0.25">
      <c r="B259" s="39" t="s">
        <v>124</v>
      </c>
      <c r="C259" s="41">
        <f t="shared" ref="C259:N259" si="141">C200</f>
        <v>2295.821548800001</v>
      </c>
      <c r="D259" s="41">
        <f t="shared" si="141"/>
        <v>2295.821548800001</v>
      </c>
      <c r="E259" s="41">
        <f t="shared" si="141"/>
        <v>2295.821548800001</v>
      </c>
      <c r="F259" s="41">
        <f t="shared" si="141"/>
        <v>2295.821548800001</v>
      </c>
      <c r="G259" s="41">
        <f t="shared" si="141"/>
        <v>2295.821548800001</v>
      </c>
      <c r="H259" s="41">
        <f t="shared" si="141"/>
        <v>2295.821548800001</v>
      </c>
      <c r="I259" s="41">
        <f t="shared" si="141"/>
        <v>2295.821548800001</v>
      </c>
      <c r="J259" s="41">
        <f t="shared" si="141"/>
        <v>2295.821548800001</v>
      </c>
      <c r="K259" s="41">
        <f t="shared" si="141"/>
        <v>2295.821548800001</v>
      </c>
      <c r="L259" s="41">
        <f t="shared" si="141"/>
        <v>2295.821548800001</v>
      </c>
      <c r="M259" s="41">
        <f t="shared" si="141"/>
        <v>2295.821548800001</v>
      </c>
      <c r="N259" s="41">
        <f t="shared" si="141"/>
        <v>2295.821548800001</v>
      </c>
      <c r="O259" s="34"/>
      <c r="P259" s="34"/>
      <c r="S259" s="228" t="s">
        <v>154</v>
      </c>
      <c r="T259" s="229"/>
      <c r="V259" s="224" t="s">
        <v>157</v>
      </c>
      <c r="W259" s="224"/>
      <c r="X259" s="224"/>
      <c r="Y259" s="224"/>
      <c r="Z259" s="224"/>
      <c r="AA259" s="224"/>
    </row>
    <row r="260" spans="2:31" ht="30" x14ac:dyDescent="0.25">
      <c r="B260" s="39" t="s">
        <v>125</v>
      </c>
      <c r="C260" s="41"/>
      <c r="D260" s="41"/>
      <c r="E260" s="41"/>
      <c r="F260" s="41"/>
      <c r="G260" s="41"/>
      <c r="H260" s="41"/>
      <c r="I260" s="41"/>
      <c r="J260" s="41"/>
      <c r="K260" s="41"/>
      <c r="L260" s="41"/>
      <c r="M260" s="41"/>
      <c r="N260" s="41"/>
      <c r="O260" s="34"/>
      <c r="P260" s="34"/>
      <c r="S260" s="143" t="s">
        <v>1</v>
      </c>
      <c r="T260" s="21">
        <f>P188</f>
        <v>67524.163200000039</v>
      </c>
      <c r="V260" s="144" t="s">
        <v>2</v>
      </c>
      <c r="W260" s="145" t="s">
        <v>3</v>
      </c>
      <c r="X260" s="145" t="s">
        <v>4</v>
      </c>
      <c r="Y260" s="145" t="s">
        <v>5</v>
      </c>
      <c r="Z260" s="146" t="s">
        <v>6</v>
      </c>
      <c r="AA260" s="147" t="s">
        <v>5</v>
      </c>
      <c r="AB260" s="287"/>
      <c r="AC260" s="286"/>
      <c r="AD260" s="286"/>
      <c r="AE260" s="286"/>
    </row>
    <row r="261" spans="2:31" x14ac:dyDescent="0.25">
      <c r="B261" s="39" t="s">
        <v>126</v>
      </c>
      <c r="C261" s="41">
        <f t="shared" ref="C261:N261" si="142">C217</f>
        <v>25625</v>
      </c>
      <c r="D261" s="41">
        <f t="shared" si="142"/>
        <v>25625</v>
      </c>
      <c r="E261" s="41">
        <f t="shared" si="142"/>
        <v>25625</v>
      </c>
      <c r="F261" s="41">
        <f t="shared" si="142"/>
        <v>25625</v>
      </c>
      <c r="G261" s="41">
        <f t="shared" si="142"/>
        <v>25625</v>
      </c>
      <c r="H261" s="41">
        <f t="shared" si="142"/>
        <v>25625</v>
      </c>
      <c r="I261" s="41">
        <f t="shared" si="142"/>
        <v>25625</v>
      </c>
      <c r="J261" s="41">
        <f t="shared" si="142"/>
        <v>25625</v>
      </c>
      <c r="K261" s="41">
        <f t="shared" si="142"/>
        <v>25625</v>
      </c>
      <c r="L261" s="41">
        <f t="shared" si="142"/>
        <v>25625</v>
      </c>
      <c r="M261" s="41">
        <f t="shared" si="142"/>
        <v>25625</v>
      </c>
      <c r="N261" s="41">
        <f t="shared" si="142"/>
        <v>25625</v>
      </c>
      <c r="O261" s="34"/>
      <c r="P261" s="34"/>
      <c r="S261" s="143" t="s">
        <v>67</v>
      </c>
      <c r="T261" s="21">
        <v>0</v>
      </c>
      <c r="V261" s="148" t="s">
        <v>8</v>
      </c>
      <c r="W261" s="148">
        <f>SUM(W262:W265)</f>
        <v>214000</v>
      </c>
      <c r="X261" s="148">
        <f>SUM(X262:X263)</f>
        <v>61600</v>
      </c>
      <c r="Y261" s="148">
        <f>SUM(Y262:Y263)</f>
        <v>152400</v>
      </c>
      <c r="Z261" s="148" t="s">
        <v>9</v>
      </c>
      <c r="AA261" s="149">
        <f>SUM(AA262:AA265)</f>
        <v>-1382386.4754689522</v>
      </c>
      <c r="AB261" s="287"/>
      <c r="AC261" s="286"/>
      <c r="AD261" s="286"/>
      <c r="AE261" s="286"/>
    </row>
    <row r="262" spans="2:31" ht="30" x14ac:dyDescent="0.25">
      <c r="B262" s="39" t="s">
        <v>21</v>
      </c>
      <c r="C262" s="41">
        <f>C219</f>
        <v>10250</v>
      </c>
      <c r="D262" s="41">
        <f t="shared" ref="D262:N262" si="143">D219</f>
        <v>10250</v>
      </c>
      <c r="E262" s="41">
        <f t="shared" si="143"/>
        <v>10250</v>
      </c>
      <c r="F262" s="41">
        <f t="shared" si="143"/>
        <v>10250</v>
      </c>
      <c r="G262" s="41">
        <f t="shared" si="143"/>
        <v>10250</v>
      </c>
      <c r="H262" s="41">
        <f t="shared" si="143"/>
        <v>10250</v>
      </c>
      <c r="I262" s="41">
        <f t="shared" si="143"/>
        <v>10250</v>
      </c>
      <c r="J262" s="41">
        <f t="shared" si="143"/>
        <v>10250</v>
      </c>
      <c r="K262" s="41">
        <f t="shared" si="143"/>
        <v>10250</v>
      </c>
      <c r="L262" s="41">
        <f t="shared" si="143"/>
        <v>10250</v>
      </c>
      <c r="M262" s="41">
        <f t="shared" si="143"/>
        <v>10250</v>
      </c>
      <c r="N262" s="41">
        <f t="shared" si="143"/>
        <v>10250</v>
      </c>
      <c r="O262" s="34"/>
      <c r="P262" s="34"/>
      <c r="S262" s="144" t="s">
        <v>10</v>
      </c>
      <c r="T262" s="131">
        <f>T260+T261</f>
        <v>67524.163200000039</v>
      </c>
      <c r="V262" s="150" t="s">
        <v>11</v>
      </c>
      <c r="W262" s="150">
        <f>W167</f>
        <v>159000</v>
      </c>
      <c r="X262" s="150">
        <f>X167+P215*0.75</f>
        <v>25375</v>
      </c>
      <c r="Y262" s="150">
        <f>W262-X262</f>
        <v>133625</v>
      </c>
      <c r="Z262" s="150" t="s">
        <v>12</v>
      </c>
      <c r="AA262" s="151">
        <f>AA167</f>
        <v>80000</v>
      </c>
      <c r="AB262" s="162"/>
      <c r="AC262" s="118"/>
      <c r="AD262" s="118"/>
      <c r="AE262" s="118"/>
    </row>
    <row r="263" spans="2:31" x14ac:dyDescent="0.25">
      <c r="B263" s="39" t="s">
        <v>102</v>
      </c>
      <c r="C263" s="41">
        <f t="shared" ref="C263:N263" si="144">C226</f>
        <v>0</v>
      </c>
      <c r="D263" s="41">
        <f t="shared" si="144"/>
        <v>0</v>
      </c>
      <c r="E263" s="41">
        <f t="shared" si="144"/>
        <v>0</v>
      </c>
      <c r="F263" s="41">
        <f t="shared" si="144"/>
        <v>0</v>
      </c>
      <c r="G263" s="41">
        <f t="shared" si="144"/>
        <v>0</v>
      </c>
      <c r="H263" s="41">
        <f t="shared" si="144"/>
        <v>0</v>
      </c>
      <c r="I263" s="41">
        <f t="shared" si="144"/>
        <v>0</v>
      </c>
      <c r="J263" s="41">
        <f t="shared" si="144"/>
        <v>0</v>
      </c>
      <c r="K263" s="41">
        <f t="shared" si="144"/>
        <v>0</v>
      </c>
      <c r="L263" s="41">
        <f t="shared" si="144"/>
        <v>8200</v>
      </c>
      <c r="M263" s="41">
        <f t="shared" si="144"/>
        <v>0</v>
      </c>
      <c r="N263" s="41">
        <f t="shared" si="144"/>
        <v>0</v>
      </c>
      <c r="O263" s="34"/>
      <c r="P263" s="34"/>
      <c r="S263" s="143" t="s">
        <v>70</v>
      </c>
      <c r="T263" s="21">
        <f>P197</f>
        <v>22958.215488000013</v>
      </c>
      <c r="V263" s="150" t="s">
        <v>14</v>
      </c>
      <c r="W263" s="150">
        <f>W168</f>
        <v>55000</v>
      </c>
      <c r="X263" s="150">
        <f>X168+T268*0.25</f>
        <v>36225</v>
      </c>
      <c r="Y263" s="150">
        <f>W263-X263</f>
        <v>18775</v>
      </c>
      <c r="Z263" s="150" t="s">
        <v>15</v>
      </c>
      <c r="AA263" s="151">
        <v>5000</v>
      </c>
      <c r="AB263" s="152"/>
    </row>
    <row r="264" spans="2:31" x14ac:dyDescent="0.25">
      <c r="B264" s="39" t="s">
        <v>127</v>
      </c>
      <c r="C264" s="41">
        <f t="shared" ref="C264:N264" si="145">C213</f>
        <v>9391.5357142857119</v>
      </c>
      <c r="D264" s="41">
        <f t="shared" si="145"/>
        <v>9391.5357142857119</v>
      </c>
      <c r="E264" s="41">
        <f t="shared" si="145"/>
        <v>9391.5357142857119</v>
      </c>
      <c r="F264" s="41">
        <f t="shared" si="145"/>
        <v>9391.5357142857119</v>
      </c>
      <c r="G264" s="41">
        <f t="shared" si="145"/>
        <v>9391.5357142857119</v>
      </c>
      <c r="H264" s="41">
        <f t="shared" si="145"/>
        <v>9391.5357142857119</v>
      </c>
      <c r="I264" s="41">
        <f t="shared" si="145"/>
        <v>9391.5357142857119</v>
      </c>
      <c r="J264" s="41">
        <f t="shared" si="145"/>
        <v>9391.5357142857119</v>
      </c>
      <c r="K264" s="41">
        <f t="shared" si="145"/>
        <v>9391.5357142857119</v>
      </c>
      <c r="L264" s="41">
        <f t="shared" si="145"/>
        <v>9391.5357142857119</v>
      </c>
      <c r="M264" s="41">
        <f t="shared" si="145"/>
        <v>9391.5357142857119</v>
      </c>
      <c r="N264" s="41">
        <f t="shared" si="145"/>
        <v>9391.5357142857119</v>
      </c>
      <c r="O264" s="34"/>
      <c r="P264" s="34"/>
      <c r="S264" s="143" t="s">
        <v>73</v>
      </c>
      <c r="T264" s="21">
        <f>P206+P208+P209+P210</f>
        <v>94531.428571428565</v>
      </c>
      <c r="V264" s="148"/>
      <c r="W264" s="148"/>
      <c r="X264" s="150"/>
      <c r="Y264" s="148"/>
      <c r="Z264" s="150" t="s">
        <v>17</v>
      </c>
      <c r="AA264" s="151">
        <f>AA169+AA170</f>
        <v>-968963.98460952379</v>
      </c>
      <c r="AB264" s="152"/>
    </row>
    <row r="265" spans="2:31" x14ac:dyDescent="0.25">
      <c r="B265" s="39" t="s">
        <v>128</v>
      </c>
      <c r="C265" s="41">
        <f t="shared" ref="C265:N265" si="146">C229</f>
        <v>3450</v>
      </c>
      <c r="D265" s="41">
        <f t="shared" si="146"/>
        <v>3450</v>
      </c>
      <c r="E265" s="41">
        <f t="shared" si="146"/>
        <v>3450</v>
      </c>
      <c r="F265" s="41">
        <f t="shared" si="146"/>
        <v>3450</v>
      </c>
      <c r="G265" s="41">
        <f t="shared" si="146"/>
        <v>3450</v>
      </c>
      <c r="H265" s="41">
        <f t="shared" si="146"/>
        <v>3450</v>
      </c>
      <c r="I265" s="41">
        <f t="shared" si="146"/>
        <v>3450</v>
      </c>
      <c r="J265" s="41">
        <f t="shared" si="146"/>
        <v>3450</v>
      </c>
      <c r="K265" s="41">
        <f t="shared" si="146"/>
        <v>3450</v>
      </c>
      <c r="L265" s="41">
        <f t="shared" si="146"/>
        <v>3450</v>
      </c>
      <c r="M265" s="41">
        <f t="shared" si="146"/>
        <v>3450</v>
      </c>
      <c r="N265" s="41">
        <f t="shared" si="146"/>
        <v>3450</v>
      </c>
      <c r="O265" s="34"/>
      <c r="P265" s="34"/>
      <c r="S265" s="143" t="s">
        <v>18</v>
      </c>
      <c r="T265" s="21">
        <f>P225</f>
        <v>8200</v>
      </c>
      <c r="V265" s="150"/>
      <c r="W265" s="150"/>
      <c r="X265" s="150"/>
      <c r="Y265" s="150"/>
      <c r="Z265" s="150" t="s">
        <v>19</v>
      </c>
      <c r="AA265" s="151">
        <f>T277</f>
        <v>-498422.49085942854</v>
      </c>
      <c r="AB265" s="152"/>
    </row>
    <row r="266" spans="2:31" x14ac:dyDescent="0.25">
      <c r="B266" s="39" t="s">
        <v>129</v>
      </c>
      <c r="C266" s="41">
        <f t="shared" ref="C266:N266" si="147">C237</f>
        <v>0</v>
      </c>
      <c r="D266" s="41">
        <f t="shared" si="147"/>
        <v>0</v>
      </c>
      <c r="E266" s="41">
        <f t="shared" si="147"/>
        <v>0</v>
      </c>
      <c r="F266" s="41">
        <f t="shared" si="147"/>
        <v>0</v>
      </c>
      <c r="G266" s="41">
        <f t="shared" si="147"/>
        <v>0</v>
      </c>
      <c r="H266" s="41">
        <f t="shared" si="147"/>
        <v>0</v>
      </c>
      <c r="I266" s="41">
        <f t="shared" si="147"/>
        <v>0</v>
      </c>
      <c r="J266" s="41">
        <f t="shared" si="147"/>
        <v>0</v>
      </c>
      <c r="K266" s="41">
        <f t="shared" si="147"/>
        <v>0</v>
      </c>
      <c r="L266" s="41">
        <f t="shared" si="147"/>
        <v>0</v>
      </c>
      <c r="M266" s="41">
        <f t="shared" si="147"/>
        <v>0</v>
      </c>
      <c r="N266" s="41">
        <f t="shared" si="147"/>
        <v>0</v>
      </c>
      <c r="O266" s="34"/>
      <c r="P266" s="34"/>
      <c r="S266" s="143" t="s">
        <v>20</v>
      </c>
      <c r="T266" s="21">
        <f>P217</f>
        <v>307500</v>
      </c>
      <c r="V266" s="152"/>
      <c r="W266" s="153"/>
      <c r="Y266" s="153"/>
      <c r="Z266" s="151"/>
      <c r="AA266" s="149"/>
      <c r="AB266" s="162"/>
      <c r="AC266" s="118"/>
      <c r="AD266" s="118"/>
      <c r="AE266" s="118"/>
    </row>
    <row r="267" spans="2:31" x14ac:dyDescent="0.25">
      <c r="B267" s="39" t="s">
        <v>130</v>
      </c>
      <c r="C267" s="41">
        <f t="shared" ref="C267:N267" si="148">C250</f>
        <v>-709.59901333333323</v>
      </c>
      <c r="D267" s="41">
        <f t="shared" si="148"/>
        <v>-771.15087146666656</v>
      </c>
      <c r="E267" s="41">
        <f t="shared" si="148"/>
        <v>-771.15087146666656</v>
      </c>
      <c r="F267" s="41">
        <f t="shared" si="148"/>
        <v>-771.15087146666656</v>
      </c>
      <c r="G267" s="41">
        <f t="shared" si="148"/>
        <v>-771.15087146666656</v>
      </c>
      <c r="H267" s="41">
        <f t="shared" si="148"/>
        <v>-771.15087146666656</v>
      </c>
      <c r="I267" s="41">
        <f t="shared" si="148"/>
        <v>-771.15087146666656</v>
      </c>
      <c r="J267" s="41">
        <f t="shared" si="148"/>
        <v>-771.15087146666656</v>
      </c>
      <c r="K267" s="41">
        <f t="shared" si="148"/>
        <v>-771.15087146666656</v>
      </c>
      <c r="L267" s="41">
        <f t="shared" si="148"/>
        <v>-771.15087146666656</v>
      </c>
      <c r="M267" s="41">
        <f t="shared" si="148"/>
        <v>-771.15087146666656</v>
      </c>
      <c r="N267" s="41">
        <f t="shared" si="148"/>
        <v>-771.15087146666656</v>
      </c>
      <c r="O267" s="34"/>
      <c r="P267" s="34"/>
      <c r="S267" s="143" t="s">
        <v>21</v>
      </c>
      <c r="T267" s="21">
        <f>P218</f>
        <v>123000</v>
      </c>
      <c r="V267" s="148" t="s">
        <v>22</v>
      </c>
      <c r="W267" s="148">
        <f>SUM(W268:W270)</f>
        <v>-1457925.6263404188</v>
      </c>
      <c r="X267" s="148">
        <f>SUM(X268:X270)</f>
        <v>0</v>
      </c>
      <c r="Y267" s="148">
        <f>SUM(Y268:Y270)</f>
        <v>-1457925.6263404188</v>
      </c>
      <c r="Z267" s="148" t="s">
        <v>23</v>
      </c>
      <c r="AA267" s="149">
        <f>SUM(AA268:AA271)</f>
        <v>57838.849128533329</v>
      </c>
      <c r="AB267" s="152"/>
    </row>
    <row r="268" spans="2:31" ht="30" x14ac:dyDescent="0.25">
      <c r="B268" s="59" t="s">
        <v>131</v>
      </c>
      <c r="C268" s="59">
        <f>SUM(C259:C267)</f>
        <v>50302.758249752376</v>
      </c>
      <c r="D268" s="59">
        <f t="shared" ref="D268:N268" si="149">SUM(D259:D267)</f>
        <v>50241.206391619045</v>
      </c>
      <c r="E268" s="59">
        <f t="shared" si="149"/>
        <v>50241.206391619045</v>
      </c>
      <c r="F268" s="59">
        <f t="shared" si="149"/>
        <v>50241.206391619045</v>
      </c>
      <c r="G268" s="59">
        <f t="shared" si="149"/>
        <v>50241.206391619045</v>
      </c>
      <c r="H268" s="59">
        <f t="shared" si="149"/>
        <v>50241.206391619045</v>
      </c>
      <c r="I268" s="59">
        <f t="shared" si="149"/>
        <v>50241.206391619045</v>
      </c>
      <c r="J268" s="59">
        <f t="shared" si="149"/>
        <v>50241.206391619045</v>
      </c>
      <c r="K268" s="59">
        <f t="shared" si="149"/>
        <v>50241.206391619045</v>
      </c>
      <c r="L268" s="59">
        <f t="shared" si="149"/>
        <v>58441.206391619045</v>
      </c>
      <c r="M268" s="59">
        <f t="shared" si="149"/>
        <v>50241.206391619045</v>
      </c>
      <c r="N268" s="59">
        <f t="shared" si="149"/>
        <v>50241.206391619045</v>
      </c>
      <c r="O268" s="34"/>
      <c r="P268" s="34"/>
      <c r="S268" s="143" t="s">
        <v>75</v>
      </c>
      <c r="T268" s="21">
        <f>P215</f>
        <v>7500</v>
      </c>
      <c r="V268" s="150" t="s">
        <v>25</v>
      </c>
      <c r="W268" s="150">
        <v>15000</v>
      </c>
      <c r="X268" s="150"/>
      <c r="Y268" s="150">
        <f>W268-X268</f>
        <v>15000</v>
      </c>
      <c r="Z268" s="150" t="s">
        <v>26</v>
      </c>
      <c r="AA268" s="151">
        <f>0</f>
        <v>0</v>
      </c>
      <c r="AB268" s="152"/>
    </row>
    <row r="269" spans="2:31" x14ac:dyDescent="0.25">
      <c r="B269" s="59" t="s">
        <v>132</v>
      </c>
      <c r="C269" s="59">
        <f>W175</f>
        <v>-961266.32762285729</v>
      </c>
      <c r="D269" s="59">
        <f t="shared" ref="D269:N269" si="150">C271</f>
        <v>-1005013.3418726097</v>
      </c>
      <c r="E269" s="59">
        <f t="shared" si="150"/>
        <v>-1048502.1319442288</v>
      </c>
      <c r="F269" s="59">
        <f t="shared" si="150"/>
        <v>-1091990.9220158479</v>
      </c>
      <c r="G269" s="59">
        <f t="shared" si="150"/>
        <v>-1135479.7120874668</v>
      </c>
      <c r="H269" s="59">
        <f t="shared" si="150"/>
        <v>-1178968.5021590858</v>
      </c>
      <c r="I269" s="59">
        <f t="shared" si="150"/>
        <v>-1222457.2922307048</v>
      </c>
      <c r="J269" s="59">
        <f t="shared" si="150"/>
        <v>-1265946.0823023238</v>
      </c>
      <c r="K269" s="59">
        <f t="shared" si="150"/>
        <v>-1309434.8723739428</v>
      </c>
      <c r="L269" s="59">
        <f t="shared" si="150"/>
        <v>-1352923.6624455617</v>
      </c>
      <c r="M269" s="59">
        <f t="shared" si="150"/>
        <v>-1404612.4525171807</v>
      </c>
      <c r="N269" s="59">
        <f t="shared" si="150"/>
        <v>-1448101.2425887997</v>
      </c>
      <c r="O269" s="34"/>
      <c r="P269" s="34"/>
      <c r="S269" s="144" t="s">
        <v>76</v>
      </c>
      <c r="T269" s="131">
        <f>SUM(T263:T268)</f>
        <v>563689.6440594286</v>
      </c>
      <c r="V269" s="150" t="s">
        <v>28</v>
      </c>
      <c r="W269" s="150">
        <f>P191</f>
        <v>6752.4163200000021</v>
      </c>
      <c r="X269" s="150"/>
      <c r="Y269" s="150">
        <f>W269-X269</f>
        <v>6752.4163200000021</v>
      </c>
      <c r="Z269" s="150" t="s">
        <v>29</v>
      </c>
      <c r="AA269" s="151">
        <v>0</v>
      </c>
      <c r="AB269" s="162"/>
      <c r="AC269" s="118"/>
      <c r="AD269" s="118"/>
      <c r="AE269" s="118"/>
    </row>
    <row r="270" spans="2:31" x14ac:dyDescent="0.25">
      <c r="B270" s="34" t="s">
        <v>133</v>
      </c>
      <c r="C270" s="34">
        <f>C258-C268</f>
        <v>-43747.014249752378</v>
      </c>
      <c r="D270" s="34">
        <f t="shared" ref="D270:N270" si="151">D258-D268</f>
        <v>-43488.790071619042</v>
      </c>
      <c r="E270" s="34">
        <f t="shared" si="151"/>
        <v>-43488.790071619042</v>
      </c>
      <c r="F270" s="34">
        <f t="shared" si="151"/>
        <v>-43488.790071619042</v>
      </c>
      <c r="G270" s="34">
        <f t="shared" si="151"/>
        <v>-43488.790071619042</v>
      </c>
      <c r="H270" s="34">
        <f t="shared" si="151"/>
        <v>-43488.790071619042</v>
      </c>
      <c r="I270" s="34">
        <f t="shared" si="151"/>
        <v>-43488.790071619042</v>
      </c>
      <c r="J270" s="34">
        <f t="shared" si="151"/>
        <v>-43488.790071619042</v>
      </c>
      <c r="K270" s="34">
        <f t="shared" si="151"/>
        <v>-43488.790071619042</v>
      </c>
      <c r="L270" s="34">
        <f t="shared" si="151"/>
        <v>-51688.790071619042</v>
      </c>
      <c r="M270" s="34">
        <f t="shared" si="151"/>
        <v>-43488.790071619042</v>
      </c>
      <c r="N270" s="34">
        <f t="shared" si="151"/>
        <v>-43488.790071619042</v>
      </c>
      <c r="O270" s="34"/>
      <c r="P270" s="34"/>
      <c r="S270" s="154" t="s">
        <v>30</v>
      </c>
      <c r="T270" s="155">
        <f>T262-T269</f>
        <v>-496165.48085942853</v>
      </c>
      <c r="V270" s="150" t="s">
        <v>34</v>
      </c>
      <c r="W270" s="150">
        <f>AE255</f>
        <v>-1479678.0426604189</v>
      </c>
      <c r="X270" s="150"/>
      <c r="Y270" s="150">
        <f>W270-X270</f>
        <v>-1479678.0426604189</v>
      </c>
      <c r="Z270" s="150" t="s">
        <v>32</v>
      </c>
      <c r="AA270" s="151">
        <f>P250+P219</f>
        <v>9478.849128533333</v>
      </c>
      <c r="AB270" s="152"/>
    </row>
    <row r="271" spans="2:31" x14ac:dyDescent="0.25">
      <c r="B271" s="59" t="s">
        <v>134</v>
      </c>
      <c r="C271" s="59">
        <f t="shared" ref="C271:N271" si="152">C269+C270</f>
        <v>-1005013.3418726097</v>
      </c>
      <c r="D271" s="59">
        <f t="shared" si="152"/>
        <v>-1048502.1319442288</v>
      </c>
      <c r="E271" s="59">
        <f t="shared" si="152"/>
        <v>-1091990.9220158479</v>
      </c>
      <c r="F271" s="59">
        <f t="shared" si="152"/>
        <v>-1135479.7120874668</v>
      </c>
      <c r="G271" s="59">
        <f t="shared" si="152"/>
        <v>-1178968.5021590858</v>
      </c>
      <c r="H271" s="59">
        <f t="shared" si="152"/>
        <v>-1222457.2922307048</v>
      </c>
      <c r="I271" s="59">
        <f t="shared" si="152"/>
        <v>-1265946.0823023238</v>
      </c>
      <c r="J271" s="59">
        <f t="shared" si="152"/>
        <v>-1309434.8723739428</v>
      </c>
      <c r="K271" s="59">
        <f t="shared" si="152"/>
        <v>-1352923.6624455617</v>
      </c>
      <c r="L271" s="59">
        <f t="shared" si="152"/>
        <v>-1404612.4525171807</v>
      </c>
      <c r="M271" s="59">
        <f t="shared" si="152"/>
        <v>-1448101.2425887997</v>
      </c>
      <c r="N271" s="59">
        <f t="shared" si="152"/>
        <v>-1491590.0326604187</v>
      </c>
      <c r="O271" s="60" t="s">
        <v>135</v>
      </c>
      <c r="P271" s="61">
        <f>N271</f>
        <v>-1491590.0326604187</v>
      </c>
      <c r="S271" s="144" t="s">
        <v>33</v>
      </c>
      <c r="T271" s="131">
        <v>0</v>
      </c>
      <c r="V271" s="150"/>
      <c r="W271" s="150"/>
      <c r="X271" s="150"/>
      <c r="Y271" s="150"/>
      <c r="Z271" s="150" t="s">
        <v>221</v>
      </c>
      <c r="AA271" s="151">
        <f>AA176+SUM(T248:AE248)</f>
        <v>48360</v>
      </c>
      <c r="AB271" s="152"/>
    </row>
    <row r="272" spans="2:31" x14ac:dyDescent="0.25">
      <c r="S272" s="143" t="s">
        <v>36</v>
      </c>
      <c r="T272" s="21">
        <f>P227+SUM(T251:AE251)</f>
        <v>2257.0100000000002</v>
      </c>
      <c r="V272" s="156" t="s">
        <v>38</v>
      </c>
      <c r="W272" s="156">
        <f>W261+W267</f>
        <v>-1243925.6263404188</v>
      </c>
      <c r="X272" s="156">
        <f>X261</f>
        <v>61600</v>
      </c>
      <c r="Y272" s="156">
        <f>W272-X272</f>
        <v>-1305525.6263404188</v>
      </c>
      <c r="Z272" s="156" t="s">
        <v>39</v>
      </c>
      <c r="AA272" s="157">
        <f>AA261+AA267</f>
        <v>-1324547.6263404188</v>
      </c>
      <c r="AB272" s="152"/>
    </row>
    <row r="273" spans="19:27" x14ac:dyDescent="0.25">
      <c r="S273" s="144" t="s">
        <v>37</v>
      </c>
      <c r="T273" s="131">
        <f>T272</f>
        <v>2257.0100000000002</v>
      </c>
      <c r="Z273" s="158" t="s">
        <v>42</v>
      </c>
      <c r="AA273" s="159">
        <f>Y272-AA272</f>
        <v>19022</v>
      </c>
    </row>
    <row r="274" spans="19:27" x14ac:dyDescent="0.25">
      <c r="S274" s="154" t="s">
        <v>40</v>
      </c>
      <c r="T274" s="155">
        <f>T271-T273</f>
        <v>-2257.0100000000002</v>
      </c>
    </row>
    <row r="275" spans="19:27" x14ac:dyDescent="0.25">
      <c r="S275" s="154" t="s">
        <v>43</v>
      </c>
      <c r="T275" s="155">
        <f>T270-(-T274)</f>
        <v>-498422.49085942854</v>
      </c>
    </row>
    <row r="276" spans="19:27" x14ac:dyDescent="0.25">
      <c r="S276" s="154" t="s">
        <v>45</v>
      </c>
      <c r="T276" s="21"/>
    </row>
    <row r="277" spans="19:27" x14ac:dyDescent="0.25">
      <c r="S277" s="160" t="s">
        <v>47</v>
      </c>
      <c r="T277" s="161">
        <f>T275</f>
        <v>-498422.49085942854</v>
      </c>
    </row>
  </sheetData>
  <mergeCells count="371">
    <mergeCell ref="J3:J4"/>
    <mergeCell ref="K3:K4"/>
    <mergeCell ref="L3:L4"/>
    <mergeCell ref="M3:M4"/>
    <mergeCell ref="N3:N4"/>
    <mergeCell ref="O3:P3"/>
    <mergeCell ref="B1:P1"/>
    <mergeCell ref="B2:P2"/>
    <mergeCell ref="B3:B4"/>
    <mergeCell ref="C3:C4"/>
    <mergeCell ref="D3:D4"/>
    <mergeCell ref="E3:E4"/>
    <mergeCell ref="F3:F4"/>
    <mergeCell ref="G3:G4"/>
    <mergeCell ref="H3:H4"/>
    <mergeCell ref="I3:I4"/>
    <mergeCell ref="B11:P11"/>
    <mergeCell ref="B12:B13"/>
    <mergeCell ref="C12:C13"/>
    <mergeCell ref="D12:D13"/>
    <mergeCell ref="E12:E13"/>
    <mergeCell ref="F12:F13"/>
    <mergeCell ref="G12:G13"/>
    <mergeCell ref="H12:H13"/>
    <mergeCell ref="I12:I13"/>
    <mergeCell ref="J12:J13"/>
    <mergeCell ref="K12:K13"/>
    <mergeCell ref="L12:L13"/>
    <mergeCell ref="M12:M13"/>
    <mergeCell ref="N12:N13"/>
    <mergeCell ref="O12:P12"/>
    <mergeCell ref="B20:P20"/>
    <mergeCell ref="I38:I39"/>
    <mergeCell ref="J38:J39"/>
    <mergeCell ref="K38:K39"/>
    <mergeCell ref="L38:L39"/>
    <mergeCell ref="M38:M39"/>
    <mergeCell ref="N38:N39"/>
    <mergeCell ref="N21:N22"/>
    <mergeCell ref="O21:P21"/>
    <mergeCell ref="B37:P37"/>
    <mergeCell ref="B38:B39"/>
    <mergeCell ref="C38:C39"/>
    <mergeCell ref="D38:D39"/>
    <mergeCell ref="E38:E39"/>
    <mergeCell ref="G38:G39"/>
    <mergeCell ref="H38:H39"/>
    <mergeCell ref="H21:H22"/>
    <mergeCell ref="I21:I22"/>
    <mergeCell ref="J21:J22"/>
    <mergeCell ref="K21:K22"/>
    <mergeCell ref="L21:L22"/>
    <mergeCell ref="M21:M22"/>
    <mergeCell ref="D21:D22"/>
    <mergeCell ref="E21:E22"/>
    <mergeCell ref="F21:F22"/>
    <mergeCell ref="G21:G22"/>
    <mergeCell ref="B21:B22"/>
    <mergeCell ref="C21:C22"/>
    <mergeCell ref="AD48:AD49"/>
    <mergeCell ref="AE48:AE49"/>
    <mergeCell ref="B48:P48"/>
    <mergeCell ref="B49:B50"/>
    <mergeCell ref="C49:C50"/>
    <mergeCell ref="D49:D50"/>
    <mergeCell ref="E49:E50"/>
    <mergeCell ref="F49:F50"/>
    <mergeCell ref="G49:G50"/>
    <mergeCell ref="H49:H50"/>
    <mergeCell ref="X48:X49"/>
    <mergeCell ref="Y48:Y49"/>
    <mergeCell ref="Z48:Z49"/>
    <mergeCell ref="AA48:AA49"/>
    <mergeCell ref="AB48:AB49"/>
    <mergeCell ref="AC48:AC49"/>
    <mergeCell ref="S48:S49"/>
    <mergeCell ref="T48:T49"/>
    <mergeCell ref="U48:U49"/>
    <mergeCell ref="V48:V49"/>
    <mergeCell ref="W48:W49"/>
    <mergeCell ref="F38:F39"/>
    <mergeCell ref="J58:J59"/>
    <mergeCell ref="K58:K59"/>
    <mergeCell ref="L58:L59"/>
    <mergeCell ref="M58:M59"/>
    <mergeCell ref="N58:N59"/>
    <mergeCell ref="O58:P58"/>
    <mergeCell ref="O49:P49"/>
    <mergeCell ref="B57:P57"/>
    <mergeCell ref="B58:B59"/>
    <mergeCell ref="C58:C59"/>
    <mergeCell ref="D58:D59"/>
    <mergeCell ref="E58:E59"/>
    <mergeCell ref="F58:F59"/>
    <mergeCell ref="G58:G59"/>
    <mergeCell ref="H58:H59"/>
    <mergeCell ref="I58:I59"/>
    <mergeCell ref="I49:I50"/>
    <mergeCell ref="J49:J50"/>
    <mergeCell ref="K49:K50"/>
    <mergeCell ref="L49:L50"/>
    <mergeCell ref="M49:M50"/>
    <mergeCell ref="N49:N50"/>
    <mergeCell ref="O38:P38"/>
    <mergeCell ref="B69:P69"/>
    <mergeCell ref="B70:B71"/>
    <mergeCell ref="C70:C71"/>
    <mergeCell ref="D70:D71"/>
    <mergeCell ref="E70:E71"/>
    <mergeCell ref="F70:F71"/>
    <mergeCell ref="G70:G71"/>
    <mergeCell ref="H70:H71"/>
    <mergeCell ref="I70:I71"/>
    <mergeCell ref="J70:J71"/>
    <mergeCell ref="V71:AA71"/>
    <mergeCell ref="B91:P91"/>
    <mergeCell ref="B94:P94"/>
    <mergeCell ref="B95:B96"/>
    <mergeCell ref="C95:C96"/>
    <mergeCell ref="D95:D96"/>
    <mergeCell ref="E95:E96"/>
    <mergeCell ref="F95:F96"/>
    <mergeCell ref="G95:G96"/>
    <mergeCell ref="H95:H96"/>
    <mergeCell ref="K70:K71"/>
    <mergeCell ref="L70:L71"/>
    <mergeCell ref="M70:M71"/>
    <mergeCell ref="N70:N71"/>
    <mergeCell ref="O70:P70"/>
    <mergeCell ref="S71:T71"/>
    <mergeCell ref="J104:J105"/>
    <mergeCell ref="K104:K105"/>
    <mergeCell ref="L104:L105"/>
    <mergeCell ref="M104:M105"/>
    <mergeCell ref="N104:N105"/>
    <mergeCell ref="O104:P104"/>
    <mergeCell ref="O95:P95"/>
    <mergeCell ref="B103:P103"/>
    <mergeCell ref="B104:B105"/>
    <mergeCell ref="C104:C105"/>
    <mergeCell ref="D104:D105"/>
    <mergeCell ref="E104:E105"/>
    <mergeCell ref="F104:F105"/>
    <mergeCell ref="G104:G105"/>
    <mergeCell ref="H104:H105"/>
    <mergeCell ref="I104:I105"/>
    <mergeCell ref="I95:I96"/>
    <mergeCell ref="J95:J96"/>
    <mergeCell ref="K95:K96"/>
    <mergeCell ref="L95:L96"/>
    <mergeCell ref="M95:M96"/>
    <mergeCell ref="N95:N96"/>
    <mergeCell ref="K113:K114"/>
    <mergeCell ref="L113:L114"/>
    <mergeCell ref="M113:M114"/>
    <mergeCell ref="N113:N114"/>
    <mergeCell ref="O113:P113"/>
    <mergeCell ref="B130:P130"/>
    <mergeCell ref="B112:P112"/>
    <mergeCell ref="B113:B114"/>
    <mergeCell ref="C113:C114"/>
    <mergeCell ref="D113:D114"/>
    <mergeCell ref="E113:E114"/>
    <mergeCell ref="F113:F114"/>
    <mergeCell ref="G113:G114"/>
    <mergeCell ref="H113:H114"/>
    <mergeCell ref="I113:I114"/>
    <mergeCell ref="J113:J114"/>
    <mergeCell ref="N131:N132"/>
    <mergeCell ref="O131:P131"/>
    <mergeCell ref="B140:P140"/>
    <mergeCell ref="B141:B142"/>
    <mergeCell ref="C141:C142"/>
    <mergeCell ref="D141:D142"/>
    <mergeCell ref="E141:E142"/>
    <mergeCell ref="F141:F142"/>
    <mergeCell ref="G141:G142"/>
    <mergeCell ref="H141:H142"/>
    <mergeCell ref="H131:H132"/>
    <mergeCell ref="I131:I132"/>
    <mergeCell ref="J131:J132"/>
    <mergeCell ref="K131:K132"/>
    <mergeCell ref="L131:L132"/>
    <mergeCell ref="M131:M132"/>
    <mergeCell ref="B131:B132"/>
    <mergeCell ref="C131:C132"/>
    <mergeCell ref="D131:D132"/>
    <mergeCell ref="E131:E132"/>
    <mergeCell ref="F131:F132"/>
    <mergeCell ref="G131:G132"/>
    <mergeCell ref="O141:P141"/>
    <mergeCell ref="T148:T149"/>
    <mergeCell ref="U148:U149"/>
    <mergeCell ref="V148:V149"/>
    <mergeCell ref="W148:W149"/>
    <mergeCell ref="I141:I142"/>
    <mergeCell ref="J141:J142"/>
    <mergeCell ref="K141:K142"/>
    <mergeCell ref="L141:L142"/>
    <mergeCell ref="M141:M142"/>
    <mergeCell ref="N141:N142"/>
    <mergeCell ref="AD148:AD149"/>
    <mergeCell ref="AE148:AE149"/>
    <mergeCell ref="B149:P149"/>
    <mergeCell ref="B150:B151"/>
    <mergeCell ref="C150:C151"/>
    <mergeCell ref="D150:D151"/>
    <mergeCell ref="E150:E151"/>
    <mergeCell ref="F150:F151"/>
    <mergeCell ref="G150:G151"/>
    <mergeCell ref="H150:H151"/>
    <mergeCell ref="X148:X149"/>
    <mergeCell ref="Y148:Y149"/>
    <mergeCell ref="Z148:Z149"/>
    <mergeCell ref="AA148:AA149"/>
    <mergeCell ref="AB148:AB149"/>
    <mergeCell ref="AC148:AC149"/>
    <mergeCell ref="O150:P150"/>
    <mergeCell ref="I150:I151"/>
    <mergeCell ref="J150:J151"/>
    <mergeCell ref="K150:K151"/>
    <mergeCell ref="L150:L151"/>
    <mergeCell ref="M150:M151"/>
    <mergeCell ref="N150:N151"/>
    <mergeCell ref="S148:S149"/>
    <mergeCell ref="B161:P161"/>
    <mergeCell ref="S164:T164"/>
    <mergeCell ref="V164:AA164"/>
    <mergeCell ref="B162:B163"/>
    <mergeCell ref="C162:C163"/>
    <mergeCell ref="D162:D163"/>
    <mergeCell ref="E162:E163"/>
    <mergeCell ref="F162:F163"/>
    <mergeCell ref="G162:G163"/>
    <mergeCell ref="N162:N163"/>
    <mergeCell ref="O162:P162"/>
    <mergeCell ref="AB165:AB166"/>
    <mergeCell ref="AC165:AC166"/>
    <mergeCell ref="AD165:AD166"/>
    <mergeCell ref="AE165:AE166"/>
    <mergeCell ref="H162:H163"/>
    <mergeCell ref="I162:I163"/>
    <mergeCell ref="J162:J163"/>
    <mergeCell ref="K162:K163"/>
    <mergeCell ref="L162:L163"/>
    <mergeCell ref="M162:M163"/>
    <mergeCell ref="J186:J187"/>
    <mergeCell ref="K186:K187"/>
    <mergeCell ref="L186:L187"/>
    <mergeCell ref="M186:M187"/>
    <mergeCell ref="N186:N187"/>
    <mergeCell ref="O186:P186"/>
    <mergeCell ref="B182:P182"/>
    <mergeCell ref="B185:P185"/>
    <mergeCell ref="B186:B187"/>
    <mergeCell ref="C186:C187"/>
    <mergeCell ref="D186:D187"/>
    <mergeCell ref="E186:E187"/>
    <mergeCell ref="F186:F187"/>
    <mergeCell ref="G186:G187"/>
    <mergeCell ref="H186:H187"/>
    <mergeCell ref="I186:I187"/>
    <mergeCell ref="K195:K196"/>
    <mergeCell ref="L195:L196"/>
    <mergeCell ref="M195:M196"/>
    <mergeCell ref="N195:N196"/>
    <mergeCell ref="O195:P195"/>
    <mergeCell ref="B203:P203"/>
    <mergeCell ref="B194:P194"/>
    <mergeCell ref="B195:B196"/>
    <mergeCell ref="C195:C196"/>
    <mergeCell ref="D195:D196"/>
    <mergeCell ref="E195:E196"/>
    <mergeCell ref="F195:F196"/>
    <mergeCell ref="G195:G196"/>
    <mergeCell ref="H195:H196"/>
    <mergeCell ref="I195:I196"/>
    <mergeCell ref="J195:J196"/>
    <mergeCell ref="N204:N205"/>
    <mergeCell ref="O204:P204"/>
    <mergeCell ref="B222:P222"/>
    <mergeCell ref="B223:B224"/>
    <mergeCell ref="C223:C224"/>
    <mergeCell ref="D223:D224"/>
    <mergeCell ref="E223:E224"/>
    <mergeCell ref="F223:F224"/>
    <mergeCell ref="G223:G224"/>
    <mergeCell ref="H223:H224"/>
    <mergeCell ref="H204:H205"/>
    <mergeCell ref="I204:I205"/>
    <mergeCell ref="J204:J205"/>
    <mergeCell ref="K204:K205"/>
    <mergeCell ref="L204:L205"/>
    <mergeCell ref="M204:M205"/>
    <mergeCell ref="B204:B205"/>
    <mergeCell ref="C204:C205"/>
    <mergeCell ref="D204:D205"/>
    <mergeCell ref="E204:E205"/>
    <mergeCell ref="F204:F205"/>
    <mergeCell ref="G204:G205"/>
    <mergeCell ref="O223:P223"/>
    <mergeCell ref="I223:I224"/>
    <mergeCell ref="J223:J224"/>
    <mergeCell ref="K223:K224"/>
    <mergeCell ref="L223:L224"/>
    <mergeCell ref="M223:M224"/>
    <mergeCell ref="N223:N224"/>
    <mergeCell ref="U243:U244"/>
    <mergeCell ref="V243:V244"/>
    <mergeCell ref="W243:W244"/>
    <mergeCell ref="X243:X244"/>
    <mergeCell ref="J233:J234"/>
    <mergeCell ref="K233:K234"/>
    <mergeCell ref="L233:L234"/>
    <mergeCell ref="M233:M234"/>
    <mergeCell ref="N233:N234"/>
    <mergeCell ref="O233:P233"/>
    <mergeCell ref="B232:P232"/>
    <mergeCell ref="B233:B234"/>
    <mergeCell ref="C233:C234"/>
    <mergeCell ref="D233:D234"/>
    <mergeCell ref="E233:E234"/>
    <mergeCell ref="F233:F234"/>
    <mergeCell ref="G233:G234"/>
    <mergeCell ref="H233:H234"/>
    <mergeCell ref="I233:I234"/>
    <mergeCell ref="J242:J243"/>
    <mergeCell ref="K242:K243"/>
    <mergeCell ref="L242:L243"/>
    <mergeCell ref="M242:M243"/>
    <mergeCell ref="N242:N243"/>
    <mergeCell ref="O242:P242"/>
    <mergeCell ref="AE243:AE244"/>
    <mergeCell ref="B241:P241"/>
    <mergeCell ref="B242:B243"/>
    <mergeCell ref="C242:C243"/>
    <mergeCell ref="D242:D243"/>
    <mergeCell ref="E242:E243"/>
    <mergeCell ref="F242:F243"/>
    <mergeCell ref="G242:G243"/>
    <mergeCell ref="H242:H243"/>
    <mergeCell ref="I242:I243"/>
    <mergeCell ref="Y243:Y244"/>
    <mergeCell ref="Z243:Z244"/>
    <mergeCell ref="AA243:AA244"/>
    <mergeCell ref="AB243:AB244"/>
    <mergeCell ref="AC243:AC244"/>
    <mergeCell ref="AD243:AD244"/>
    <mergeCell ref="S243:S244"/>
    <mergeCell ref="T243:T244"/>
    <mergeCell ref="B253:P253"/>
    <mergeCell ref="S259:T259"/>
    <mergeCell ref="V259:AA259"/>
    <mergeCell ref="B254:B255"/>
    <mergeCell ref="C254:C255"/>
    <mergeCell ref="D254:D255"/>
    <mergeCell ref="E254:E255"/>
    <mergeCell ref="F254:F255"/>
    <mergeCell ref="G254:G255"/>
    <mergeCell ref="H254:H255"/>
    <mergeCell ref="O254:P254"/>
    <mergeCell ref="AB260:AB261"/>
    <mergeCell ref="AC260:AC261"/>
    <mergeCell ref="AD260:AD261"/>
    <mergeCell ref="AE260:AE261"/>
    <mergeCell ref="I254:I255"/>
    <mergeCell ref="J254:J255"/>
    <mergeCell ref="K254:K255"/>
    <mergeCell ref="L254:L255"/>
    <mergeCell ref="M254:M255"/>
    <mergeCell ref="N254:N255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BDEDC4-5EB9-43CB-97F5-5EFDBAD1DE14}">
  <sheetPr codeName="Feuil17">
    <tabColor rgb="FFC00000"/>
  </sheetPr>
  <dimension ref="B2:Q55"/>
  <sheetViews>
    <sheetView topLeftCell="A13" zoomScale="85" zoomScaleNormal="85" workbookViewId="0">
      <selection activeCell="R36" sqref="R36"/>
    </sheetView>
  </sheetViews>
  <sheetFormatPr baseColWidth="10" defaultColWidth="10.7109375" defaultRowHeight="15" x14ac:dyDescent="0.25"/>
  <cols>
    <col min="1" max="1" width="10.28515625" style="20" customWidth="1"/>
    <col min="2" max="2" width="46" style="20" customWidth="1"/>
    <col min="3" max="3" width="17.28515625" style="20" customWidth="1"/>
    <col min="4" max="10" width="10.7109375" style="20"/>
    <col min="11" max="11" width="26" style="20" bestFit="1" customWidth="1"/>
    <col min="12" max="12" width="10.7109375" style="20"/>
    <col min="13" max="13" width="14.42578125" style="20" customWidth="1"/>
    <col min="14" max="14" width="13.5703125" style="20" customWidth="1"/>
    <col min="15" max="15" width="16.140625" style="20" bestFit="1" customWidth="1"/>
    <col min="16" max="16383" width="10.7109375" style="20"/>
    <col min="16384" max="16384" width="10.7109375" style="20" bestFit="1"/>
  </cols>
  <sheetData>
    <row r="2" spans="2:17" x14ac:dyDescent="0.25">
      <c r="B2" s="118"/>
    </row>
    <row r="3" spans="2:17" x14ac:dyDescent="0.25">
      <c r="B3" s="20" t="s">
        <v>235</v>
      </c>
    </row>
    <row r="4" spans="2:17" x14ac:dyDescent="0.25">
      <c r="B4" s="112"/>
      <c r="C4" s="112" t="s">
        <v>48</v>
      </c>
      <c r="D4" s="112" t="s">
        <v>136</v>
      </c>
      <c r="E4" s="112" t="s">
        <v>152</v>
      </c>
      <c r="F4" s="112" t="s">
        <v>201</v>
      </c>
      <c r="G4" s="112" t="s">
        <v>236</v>
      </c>
    </row>
    <row r="5" spans="2:17" x14ac:dyDescent="0.25">
      <c r="B5" s="59" t="s">
        <v>237</v>
      </c>
      <c r="C5" s="59">
        <f>SUM(C6:C9)</f>
        <v>200069.33333333334</v>
      </c>
      <c r="D5" s="59">
        <f>SUM(D6:D9)</f>
        <v>106.08000000000084</v>
      </c>
      <c r="E5" s="59">
        <f>SUM(E6:E9)</f>
        <v>109.26240000000143</v>
      </c>
      <c r="F5" s="59">
        <f>SUM(F6:F9)</f>
        <v>0</v>
      </c>
      <c r="G5" s="59">
        <f>SUM(G6:G9)</f>
        <v>0</v>
      </c>
      <c r="K5" s="292" t="s">
        <v>48</v>
      </c>
      <c r="L5" s="293"/>
      <c r="O5" s="294" t="s">
        <v>238</v>
      </c>
      <c r="P5" s="295"/>
      <c r="Q5" s="295"/>
    </row>
    <row r="6" spans="2:17" x14ac:dyDescent="0.25">
      <c r="B6" s="34" t="s">
        <v>239</v>
      </c>
      <c r="C6" s="34">
        <f>200000</f>
        <v>200000</v>
      </c>
      <c r="D6" s="34"/>
      <c r="E6" s="34"/>
      <c r="F6" s="34"/>
      <c r="G6" s="34"/>
      <c r="K6" s="85" t="s">
        <v>240</v>
      </c>
      <c r="L6" s="125">
        <f>'Hypothèse | 3 ans'!T72</f>
        <v>63648</v>
      </c>
      <c r="O6" s="21" t="s">
        <v>241</v>
      </c>
      <c r="P6" s="21">
        <f>'Bilan et CDR N'!C7*20/360</f>
        <v>3466.6666666666665</v>
      </c>
      <c r="Q6" s="134" t="s">
        <v>242</v>
      </c>
    </row>
    <row r="7" spans="2:17" x14ac:dyDescent="0.25">
      <c r="B7" s="34" t="s">
        <v>238</v>
      </c>
      <c r="C7" s="34">
        <f>Q7</f>
        <v>69.333333333333485</v>
      </c>
      <c r="D7" s="20">
        <f>Q8</f>
        <v>106.08000000000084</v>
      </c>
      <c r="E7" s="34">
        <f>Q9</f>
        <v>109.26240000000143</v>
      </c>
      <c r="F7" s="34"/>
      <c r="G7" s="34"/>
      <c r="K7" s="85" t="s">
        <v>243</v>
      </c>
      <c r="L7" s="125">
        <f>'Hypothèse | 3 ans'!T73</f>
        <v>19094.400000000005</v>
      </c>
      <c r="O7" s="21" t="s">
        <v>244</v>
      </c>
      <c r="P7" s="21">
        <f>'Hypothèse | 3 ans'!T72*20/360</f>
        <v>3536</v>
      </c>
      <c r="Q7" s="21">
        <f>P7-P6</f>
        <v>69.333333333333485</v>
      </c>
    </row>
    <row r="8" spans="2:17" x14ac:dyDescent="0.25">
      <c r="B8" s="34" t="s">
        <v>245</v>
      </c>
      <c r="C8" s="34"/>
      <c r="D8" s="34"/>
      <c r="E8" s="34"/>
      <c r="F8" s="34"/>
      <c r="G8" s="34"/>
      <c r="K8" s="85" t="s">
        <v>246</v>
      </c>
      <c r="L8" s="125">
        <f>'Hypothèse | 3 ans'!T74</f>
        <v>85200</v>
      </c>
      <c r="O8" s="21" t="s">
        <v>247</v>
      </c>
      <c r="P8" s="21">
        <f>'Hypothèse | 3 ans'!T160*20/360</f>
        <v>3642.0800000000008</v>
      </c>
      <c r="Q8" s="21">
        <f>P8-P7</f>
        <v>106.08000000000084</v>
      </c>
    </row>
    <row r="9" spans="2:17" x14ac:dyDescent="0.25">
      <c r="B9" s="34"/>
      <c r="C9" s="34"/>
      <c r="D9" s="34"/>
      <c r="E9" s="34"/>
      <c r="F9" s="34"/>
      <c r="G9" s="34"/>
      <c r="K9" s="85" t="s">
        <v>248</v>
      </c>
      <c r="L9" s="125">
        <f>'Hypothèse | 3 ans'!T76+'Hypothèse | 3 ans'!T77</f>
        <v>430500</v>
      </c>
      <c r="O9" s="21" t="s">
        <v>249</v>
      </c>
      <c r="P9" s="21">
        <f>'Hypothèse | 3 ans'!$T$251*20/360</f>
        <v>3751.3424000000023</v>
      </c>
      <c r="Q9" s="21">
        <f>P9-P8</f>
        <v>109.26240000000143</v>
      </c>
    </row>
    <row r="10" spans="2:17" x14ac:dyDescent="0.25">
      <c r="B10" s="59" t="s">
        <v>250</v>
      </c>
      <c r="C10" s="59">
        <f>SUM(C11:C15)</f>
        <v>-363099.20357142854</v>
      </c>
      <c r="D10" s="59">
        <f>SUM(D11:D15)</f>
        <v>-358933.07000476192</v>
      </c>
      <c r="E10" s="59">
        <f>SUM(E11:E15)</f>
        <v>-359161.14028742857</v>
      </c>
      <c r="F10" s="59">
        <f>SUM(F11:F15)</f>
        <v>-359161.14028742857</v>
      </c>
      <c r="G10" s="59">
        <f>SUM(G11:G15)</f>
        <v>-359161.14028742857</v>
      </c>
      <c r="K10" s="92" t="s">
        <v>251</v>
      </c>
      <c r="L10" s="126">
        <f>'Hypothèse | 3 ans'!T75</f>
        <v>8200</v>
      </c>
      <c r="O10" s="21" t="s">
        <v>252</v>
      </c>
      <c r="P10" s="21">
        <f>P9</f>
        <v>3751.3424000000023</v>
      </c>
      <c r="Q10" s="21">
        <f>P10-P9</f>
        <v>0</v>
      </c>
    </row>
    <row r="11" spans="2:17" x14ac:dyDescent="0.25">
      <c r="B11" s="34" t="s">
        <v>253</v>
      </c>
      <c r="C11" s="34">
        <f>L45</f>
        <v>-363099.20357142854</v>
      </c>
      <c r="D11" s="34">
        <f>M45</f>
        <v>-358933.07000476192</v>
      </c>
      <c r="E11" s="34">
        <f>N45</f>
        <v>-359161.14028742857</v>
      </c>
      <c r="F11" s="34">
        <f>O45</f>
        <v>-359161.14028742857</v>
      </c>
      <c r="G11" s="34">
        <f>P45</f>
        <v>-359161.14028742857</v>
      </c>
      <c r="K11" s="85" t="s">
        <v>254</v>
      </c>
      <c r="L11" s="125">
        <f>L6-L7-L8-L9-L10</f>
        <v>-479346.4</v>
      </c>
      <c r="O11" s="21" t="s">
        <v>255</v>
      </c>
      <c r="P11" s="21">
        <f>P10</f>
        <v>3751.3424000000023</v>
      </c>
      <c r="Q11" s="21">
        <f>P11-P10</f>
        <v>0</v>
      </c>
    </row>
    <row r="12" spans="2:17" x14ac:dyDescent="0.25">
      <c r="B12" s="34" t="s">
        <v>256</v>
      </c>
      <c r="C12" s="34"/>
      <c r="D12" s="34"/>
      <c r="E12" s="34"/>
      <c r="F12" s="34"/>
      <c r="G12" s="34"/>
      <c r="L12" s="127"/>
    </row>
    <row r="13" spans="2:17" x14ac:dyDescent="0.25">
      <c r="B13" s="34" t="s">
        <v>257</v>
      </c>
      <c r="C13" s="34"/>
      <c r="D13" s="34"/>
      <c r="E13" s="34"/>
      <c r="F13" s="34"/>
      <c r="G13" s="34"/>
      <c r="L13" s="127"/>
    </row>
    <row r="14" spans="2:17" x14ac:dyDescent="0.25">
      <c r="B14" s="34" t="s">
        <v>258</v>
      </c>
      <c r="C14" s="34"/>
      <c r="D14" s="34"/>
      <c r="E14" s="34"/>
      <c r="F14" s="34"/>
      <c r="G14" s="34"/>
      <c r="K14" s="292" t="s">
        <v>136</v>
      </c>
      <c r="L14" s="293"/>
    </row>
    <row r="15" spans="2:17" x14ac:dyDescent="0.25">
      <c r="B15" s="34" t="s">
        <v>259</v>
      </c>
      <c r="C15" s="34"/>
      <c r="D15" s="34"/>
      <c r="E15" s="34"/>
      <c r="F15" s="34"/>
      <c r="G15" s="34"/>
      <c r="K15" s="85" t="s">
        <v>240</v>
      </c>
      <c r="L15" s="125">
        <f>'Hypothèse | 3 ans'!T160</f>
        <v>65557.440000000017</v>
      </c>
    </row>
    <row r="16" spans="2:17" x14ac:dyDescent="0.25">
      <c r="B16" s="59" t="s">
        <v>260</v>
      </c>
      <c r="C16" s="59">
        <f>C10-C5</f>
        <v>-563168.53690476192</v>
      </c>
      <c r="D16" s="59">
        <f>D10-D5</f>
        <v>-359039.15000476193</v>
      </c>
      <c r="E16" s="59">
        <f>E10-E5</f>
        <v>-359270.40268742858</v>
      </c>
      <c r="F16" s="59">
        <f>F10-F5</f>
        <v>-359161.14028742857</v>
      </c>
      <c r="G16" s="59">
        <f>G10-G5</f>
        <v>-359161.14028742857</v>
      </c>
      <c r="K16" s="85" t="s">
        <v>243</v>
      </c>
      <c r="L16" s="125">
        <f>'Hypothèse | 3 ans'!T163</f>
        <v>20978.380799999999</v>
      </c>
    </row>
    <row r="17" spans="2:16" x14ac:dyDescent="0.25">
      <c r="B17" s="34" t="s">
        <v>261</v>
      </c>
      <c r="C17" s="34">
        <v>0</v>
      </c>
      <c r="D17" s="34">
        <f>C18</f>
        <v>-563168.53690476192</v>
      </c>
      <c r="E17" s="34">
        <f>D18</f>
        <v>-922207.68690952379</v>
      </c>
      <c r="F17" s="34">
        <f>E18</f>
        <v>-1281478.0895969523</v>
      </c>
      <c r="G17" s="34">
        <f>F18</f>
        <v>-1640639.2298843809</v>
      </c>
      <c r="K17" s="85" t="s">
        <v>246</v>
      </c>
      <c r="L17" s="125">
        <f>'Hypothèse | 3 ans'!T164</f>
        <v>85200</v>
      </c>
    </row>
    <row r="18" spans="2:16" x14ac:dyDescent="0.25">
      <c r="B18" s="34" t="s">
        <v>262</v>
      </c>
      <c r="C18" s="34">
        <f>C17+C16</f>
        <v>-563168.53690476192</v>
      </c>
      <c r="D18" s="34">
        <f>D17+D16</f>
        <v>-922207.68690952379</v>
      </c>
      <c r="E18" s="34">
        <f>E17+E16</f>
        <v>-1281478.0895969523</v>
      </c>
      <c r="F18" s="34">
        <f>F17+F16</f>
        <v>-1640639.2298843809</v>
      </c>
      <c r="G18" s="34">
        <f>G17+G16</f>
        <v>-1999800.3701718096</v>
      </c>
      <c r="K18" s="85" t="s">
        <v>248</v>
      </c>
      <c r="L18" s="125">
        <f>'Hypothèse | 3 ans'!T166+'Hypothèse | 3 ans'!T167</f>
        <v>430500</v>
      </c>
    </row>
    <row r="19" spans="2:16" x14ac:dyDescent="0.25">
      <c r="K19" s="92" t="s">
        <v>251</v>
      </c>
      <c r="L19" s="126">
        <f>'Hypothèse | 3 ans'!T165</f>
        <v>8200</v>
      </c>
    </row>
    <row r="20" spans="2:16" x14ac:dyDescent="0.25">
      <c r="K20" s="85" t="s">
        <v>254</v>
      </c>
      <c r="L20" s="125">
        <f>L15-L16-L17-L18-L19</f>
        <v>-479320.94079999998</v>
      </c>
    </row>
    <row r="21" spans="2:16" x14ac:dyDescent="0.25">
      <c r="B21" s="20" t="s">
        <v>263</v>
      </c>
      <c r="L21" s="127"/>
    </row>
    <row r="22" spans="2:16" x14ac:dyDescent="0.25">
      <c r="B22" s="112"/>
      <c r="C22" s="112" t="s">
        <v>48</v>
      </c>
      <c r="D22" s="112" t="s">
        <v>136</v>
      </c>
      <c r="E22" s="112" t="s">
        <v>152</v>
      </c>
      <c r="F22" s="112" t="s">
        <v>201</v>
      </c>
      <c r="G22" s="112" t="s">
        <v>236</v>
      </c>
      <c r="L22" s="127"/>
    </row>
    <row r="23" spans="2:16" x14ac:dyDescent="0.25">
      <c r="B23" s="59" t="s">
        <v>237</v>
      </c>
      <c r="C23" s="119">
        <f>SUM(C24:C28)</f>
        <v>262015.03603603604</v>
      </c>
      <c r="D23" s="119">
        <f>SUM(D24:D28)</f>
        <v>59192.75027027027</v>
      </c>
      <c r="E23" s="119">
        <f>SUM(E24:E28)</f>
        <v>56336.900237837835</v>
      </c>
      <c r="F23" s="119">
        <f>SUM(F24:F28)</f>
        <v>53368.605405405404</v>
      </c>
      <c r="G23" s="119">
        <f>SUM(G24:G28)</f>
        <v>50509.572972972972</v>
      </c>
      <c r="K23" s="292" t="s">
        <v>152</v>
      </c>
      <c r="L23" s="293"/>
    </row>
    <row r="24" spans="2:16" x14ac:dyDescent="0.25">
      <c r="B24" s="34" t="s">
        <v>264</v>
      </c>
      <c r="C24" s="34">
        <v>200000</v>
      </c>
      <c r="D24" s="34">
        <f>'Hypothèse | 3 ans'!P160</f>
        <v>0</v>
      </c>
      <c r="E24" s="34">
        <f>'Hypothèse | 3 ans'!P251</f>
        <v>0</v>
      </c>
      <c r="F24" s="34"/>
      <c r="G24" s="34"/>
      <c r="K24" s="85" t="s">
        <v>240</v>
      </c>
      <c r="L24" s="125">
        <f>'Hypothèse | 3 ans'!T253</f>
        <v>67524.163200000039</v>
      </c>
    </row>
    <row r="25" spans="2:16" x14ac:dyDescent="0.25">
      <c r="B25" s="34" t="s">
        <v>238</v>
      </c>
      <c r="C25" s="34">
        <f>Q7</f>
        <v>69.333333333333485</v>
      </c>
      <c r="D25" s="20">
        <f>Q8</f>
        <v>106.08000000000084</v>
      </c>
      <c r="E25" s="34">
        <f>Q9</f>
        <v>109.26240000000143</v>
      </c>
      <c r="F25" s="34"/>
      <c r="G25" s="34"/>
      <c r="K25" s="85" t="s">
        <v>243</v>
      </c>
      <c r="L25" s="125">
        <f>'Hypothèse | 3 ans'!T254</f>
        <v>22958.215488000013</v>
      </c>
    </row>
    <row r="26" spans="2:16" x14ac:dyDescent="0.25">
      <c r="B26" s="34" t="s">
        <v>245</v>
      </c>
      <c r="C26" s="34">
        <f>$N$32</f>
        <v>47650.54054054054</v>
      </c>
      <c r="D26" s="34">
        <f>$N$32</f>
        <v>47650.54054054054</v>
      </c>
      <c r="E26" s="34">
        <f>$N$32</f>
        <v>47650.54054054054</v>
      </c>
      <c r="F26" s="34">
        <f>$N$32</f>
        <v>47650.54054054054</v>
      </c>
      <c r="G26" s="34">
        <f>$N$32</f>
        <v>47650.54054054054</v>
      </c>
      <c r="K26" s="85" t="s">
        <v>246</v>
      </c>
      <c r="L26" s="125">
        <f>'Hypothèse | 3 ans'!T255</f>
        <v>85200</v>
      </c>
    </row>
    <row r="27" spans="2:16" x14ac:dyDescent="0.25">
      <c r="B27" s="34" t="s">
        <v>265</v>
      </c>
      <c r="C27" s="34"/>
      <c r="D27" s="34"/>
      <c r="E27" s="34"/>
      <c r="F27" s="34"/>
      <c r="G27" s="34"/>
      <c r="K27" s="85" t="s">
        <v>248</v>
      </c>
      <c r="L27" s="125">
        <f>'Hypothèse | 3 ans'!T257+'Hypothèse | 3 ans'!T258</f>
        <v>430500</v>
      </c>
      <c r="N27" s="129">
        <f>176307/(1-0.06-0.2)</f>
        <v>238252.70270270269</v>
      </c>
    </row>
    <row r="28" spans="2:16" x14ac:dyDescent="0.25">
      <c r="B28" s="34" t="s">
        <v>266</v>
      </c>
      <c r="C28" s="34">
        <f>M32*0.75</f>
        <v>14295.162162162163</v>
      </c>
      <c r="D28" s="34">
        <f>M33*0.75</f>
        <v>11436.12972972973</v>
      </c>
      <c r="E28" s="34">
        <f>M34*0.75</f>
        <v>8577.0972972972977</v>
      </c>
      <c r="F28" s="34">
        <f>M35*0.75</f>
        <v>5718.0648648648657</v>
      </c>
      <c r="G28" s="34">
        <f>M36*0.75</f>
        <v>2859.0324324324333</v>
      </c>
      <c r="K28" s="92" t="s">
        <v>251</v>
      </c>
      <c r="L28" s="126">
        <f>'Hypothèse | 3 ans'!T256</f>
        <v>8200</v>
      </c>
    </row>
    <row r="29" spans="2:16" x14ac:dyDescent="0.25">
      <c r="B29" s="59" t="s">
        <v>250</v>
      </c>
      <c r="C29" s="119">
        <f>SUM(C30:C34)</f>
        <v>-124846.50086872585</v>
      </c>
      <c r="D29" s="119">
        <f>SUM(D30:D34)</f>
        <v>-358933.07000476192</v>
      </c>
      <c r="E29" s="119">
        <f>SUM(E30:E34)</f>
        <v>-359161.14028742857</v>
      </c>
      <c r="F29" s="119">
        <f>SUM(F30:F34)</f>
        <v>-359161.14028742857</v>
      </c>
      <c r="G29" s="119">
        <f>SUM(G30:G34)</f>
        <v>-359161.14028742857</v>
      </c>
      <c r="I29" s="128"/>
      <c r="K29" s="85" t="s">
        <v>254</v>
      </c>
      <c r="L29" s="125">
        <f>L24-L25-L26-L27-L28</f>
        <v>-479334.05228800001</v>
      </c>
    </row>
    <row r="30" spans="2:16" x14ac:dyDescent="0.25">
      <c r="B30" s="34" t="s">
        <v>253</v>
      </c>
      <c r="C30" s="34">
        <f>L45</f>
        <v>-363099.20357142854</v>
      </c>
      <c r="D30" s="34">
        <f>M45</f>
        <v>-358933.07000476192</v>
      </c>
      <c r="E30" s="34">
        <f>N45</f>
        <v>-359161.14028742857</v>
      </c>
      <c r="F30" s="34">
        <f>O45</f>
        <v>-359161.14028742857</v>
      </c>
      <c r="G30" s="34">
        <f>P45</f>
        <v>-359161.14028742857</v>
      </c>
    </row>
    <row r="31" spans="2:16" x14ac:dyDescent="0.25">
      <c r="B31" s="34" t="s">
        <v>267</v>
      </c>
      <c r="C31" s="34"/>
      <c r="D31" s="34"/>
      <c r="E31" s="34"/>
      <c r="F31" s="34"/>
      <c r="G31" s="34"/>
      <c r="K31" s="112" t="s">
        <v>170</v>
      </c>
      <c r="L31" s="112" t="s">
        <v>268</v>
      </c>
      <c r="M31" s="112" t="s">
        <v>269</v>
      </c>
      <c r="N31" s="112" t="s">
        <v>270</v>
      </c>
      <c r="O31" s="112" t="s">
        <v>271</v>
      </c>
      <c r="P31" s="112" t="s">
        <v>272</v>
      </c>
    </row>
    <row r="32" spans="2:16" x14ac:dyDescent="0.25">
      <c r="B32" s="34" t="s">
        <v>257</v>
      </c>
      <c r="C32" s="34"/>
      <c r="D32" s="34"/>
      <c r="E32" s="34"/>
      <c r="F32" s="34"/>
      <c r="G32" s="34"/>
      <c r="K32" s="130">
        <v>1</v>
      </c>
      <c r="L32" s="21">
        <f>N27</f>
        <v>238252.70270270269</v>
      </c>
      <c r="M32" s="21">
        <f>L32*0.08</f>
        <v>19060.216216216217</v>
      </c>
      <c r="N32" s="21">
        <f>$L$32/5</f>
        <v>47650.54054054054</v>
      </c>
      <c r="O32" s="21">
        <f>$N$32+$M$32</f>
        <v>66710.75675675676</v>
      </c>
      <c r="P32" s="21">
        <f>L32-N32</f>
        <v>190602.16216216216</v>
      </c>
    </row>
    <row r="33" spans="2:16" x14ac:dyDescent="0.25">
      <c r="B33" s="34" t="s">
        <v>258</v>
      </c>
      <c r="C33" s="34">
        <f>N27</f>
        <v>238252.70270270269</v>
      </c>
      <c r="D33" s="34"/>
      <c r="E33" s="34"/>
      <c r="F33" s="34"/>
      <c r="G33" s="34"/>
      <c r="K33" s="130">
        <v>2</v>
      </c>
      <c r="L33" s="21">
        <f>P32</f>
        <v>190602.16216216216</v>
      </c>
      <c r="M33" s="21">
        <f>L33*0.08</f>
        <v>15248.172972972972</v>
      </c>
      <c r="N33" s="21">
        <f>$L$32/5</f>
        <v>47650.54054054054</v>
      </c>
      <c r="O33" s="21">
        <f>M33+N33</f>
        <v>62898.71351351351</v>
      </c>
      <c r="P33" s="21">
        <f>L33-N33</f>
        <v>142951.62162162163</v>
      </c>
    </row>
    <row r="34" spans="2:16" x14ac:dyDescent="0.25">
      <c r="B34" s="34" t="s">
        <v>259</v>
      </c>
      <c r="C34" s="34"/>
      <c r="D34" s="34"/>
      <c r="E34" s="34"/>
      <c r="F34" s="34"/>
      <c r="G34" s="34"/>
      <c r="K34" s="130">
        <v>3</v>
      </c>
      <c r="L34" s="21">
        <f>P33</f>
        <v>142951.62162162163</v>
      </c>
      <c r="M34" s="21">
        <f>L34*0.08</f>
        <v>11436.12972972973</v>
      </c>
      <c r="N34" s="21">
        <f>$L$32/5</f>
        <v>47650.54054054054</v>
      </c>
      <c r="O34" s="21">
        <f>N34+M34</f>
        <v>59086.670270270268</v>
      </c>
      <c r="P34" s="21">
        <f>L34-N34</f>
        <v>95301.081081081094</v>
      </c>
    </row>
    <row r="35" spans="2:16" x14ac:dyDescent="0.25">
      <c r="B35" s="59" t="s">
        <v>260</v>
      </c>
      <c r="C35" s="119">
        <f>C29-C23</f>
        <v>-386861.53690476192</v>
      </c>
      <c r="D35" s="119">
        <f>D29-D23</f>
        <v>-418125.82027503219</v>
      </c>
      <c r="E35" s="119">
        <f>E29-E23</f>
        <v>-415498.04052526643</v>
      </c>
      <c r="F35" s="119">
        <f>F29-F23</f>
        <v>-412529.74569283397</v>
      </c>
      <c r="G35" s="119">
        <f>G29-G23</f>
        <v>-409670.71326040156</v>
      </c>
      <c r="K35" s="130">
        <v>4</v>
      </c>
      <c r="L35" s="21">
        <f>P34</f>
        <v>95301.081081081094</v>
      </c>
      <c r="M35" s="21">
        <f t="shared" ref="M35:M36" si="0">L35*0.08</f>
        <v>7624.086486486488</v>
      </c>
      <c r="N35" s="21">
        <f>$L$32/5</f>
        <v>47650.54054054054</v>
      </c>
      <c r="O35" s="21">
        <f t="shared" ref="O35:O36" si="1">N35+M35</f>
        <v>55274.627027027025</v>
      </c>
      <c r="P35" s="21">
        <f>L35-N35</f>
        <v>47650.540540540555</v>
      </c>
    </row>
    <row r="36" spans="2:16" x14ac:dyDescent="0.25">
      <c r="B36" s="34" t="s">
        <v>261</v>
      </c>
      <c r="C36" s="34">
        <v>0</v>
      </c>
      <c r="D36" s="34">
        <f>C37</f>
        <v>-386861.53690476192</v>
      </c>
      <c r="E36" s="34">
        <f>D37</f>
        <v>-804987.35717979411</v>
      </c>
      <c r="F36" s="34">
        <f>E37</f>
        <v>-1220485.3977050604</v>
      </c>
      <c r="G36" s="34">
        <f>F37</f>
        <v>-1633015.1433978945</v>
      </c>
      <c r="K36" s="130">
        <v>5</v>
      </c>
      <c r="L36" s="21">
        <f>P35</f>
        <v>47650.540540540555</v>
      </c>
      <c r="M36" s="21">
        <f t="shared" si="0"/>
        <v>3812.0432432432444</v>
      </c>
      <c r="N36" s="21">
        <f>$L$32/5</f>
        <v>47650.54054054054</v>
      </c>
      <c r="O36" s="21">
        <f t="shared" si="1"/>
        <v>51462.583783783783</v>
      </c>
      <c r="P36" s="21">
        <f>L36-N36</f>
        <v>0</v>
      </c>
    </row>
    <row r="37" spans="2:16" ht="15.75" thickBot="1" x14ac:dyDescent="0.3">
      <c r="B37" s="34" t="s">
        <v>262</v>
      </c>
      <c r="C37" s="34">
        <f>C36+C35</f>
        <v>-386861.53690476192</v>
      </c>
      <c r="D37" s="34">
        <f>D36+D35</f>
        <v>-804987.35717979411</v>
      </c>
      <c r="E37" s="34">
        <f>E36+E35</f>
        <v>-1220485.3977050604</v>
      </c>
      <c r="F37" s="34">
        <f>F36+F35</f>
        <v>-1633015.1433978945</v>
      </c>
      <c r="G37" s="34">
        <f>G36+G35</f>
        <v>-2042685.856658296</v>
      </c>
    </row>
    <row r="38" spans="2:16" x14ac:dyDescent="0.25">
      <c r="I38" s="118"/>
      <c r="K38" s="120" t="s">
        <v>273</v>
      </c>
      <c r="L38" s="121" t="s">
        <v>48</v>
      </c>
      <c r="M38" s="121" t="s">
        <v>136</v>
      </c>
      <c r="N38" s="121" t="s">
        <v>152</v>
      </c>
      <c r="O38" s="121" t="s">
        <v>201</v>
      </c>
      <c r="P38" s="122" t="s">
        <v>236</v>
      </c>
    </row>
    <row r="39" spans="2:16" x14ac:dyDescent="0.25">
      <c r="K39" s="23" t="s">
        <v>254</v>
      </c>
      <c r="L39" s="23">
        <f>L11</f>
        <v>-479346.4</v>
      </c>
      <c r="M39" s="23">
        <f>L20</f>
        <v>-479320.94079999998</v>
      </c>
      <c r="N39" s="23">
        <f>$L$29</f>
        <v>-479334.05228800001</v>
      </c>
      <c r="O39" s="23">
        <f>$L$29</f>
        <v>-479334.05228800001</v>
      </c>
      <c r="P39" s="23">
        <f>$L$29</f>
        <v>-479334.05228800001</v>
      </c>
    </row>
    <row r="40" spans="2:16" x14ac:dyDescent="0.25">
      <c r="B40" s="20" t="s">
        <v>274</v>
      </c>
      <c r="K40" s="23" t="s">
        <v>275</v>
      </c>
      <c r="L40" s="23">
        <f>'Hypothèse | 3 ans'!T82</f>
        <v>8357.2999999999993</v>
      </c>
      <c r="M40" s="23">
        <f>'Hypothèse | 3 ans'!T172</f>
        <v>3158.4700000000016</v>
      </c>
      <c r="N40" s="23">
        <f>'Hypothèse | 3 ans'!$T$263</f>
        <v>4752.2300000000005</v>
      </c>
      <c r="O40" s="23">
        <f>'Hypothèse | 3 ans'!$T$263</f>
        <v>4752.2300000000005</v>
      </c>
      <c r="P40" s="23">
        <f>'Hypothèse | 3 ans'!$T$263</f>
        <v>4752.2300000000005</v>
      </c>
    </row>
    <row r="41" spans="2:16" x14ac:dyDescent="0.25">
      <c r="B41" s="133"/>
      <c r="C41" s="133" t="s">
        <v>48</v>
      </c>
      <c r="D41" s="133" t="s">
        <v>136</v>
      </c>
      <c r="E41" s="133" t="s">
        <v>152</v>
      </c>
      <c r="F41" s="133" t="s">
        <v>201</v>
      </c>
      <c r="G41" s="133" t="s">
        <v>236</v>
      </c>
      <c r="K41" s="123" t="s">
        <v>253</v>
      </c>
      <c r="L41" s="123">
        <f>L39-L40</f>
        <v>-487703.7</v>
      </c>
      <c r="M41" s="123">
        <f>M39-M40</f>
        <v>-482479.41080000001</v>
      </c>
      <c r="N41" s="123">
        <f>N39-N40</f>
        <v>-484086.28228799999</v>
      </c>
      <c r="O41" s="123">
        <f>O39-O40</f>
        <v>-484086.28228799999</v>
      </c>
      <c r="P41" s="123">
        <f>P39-P40</f>
        <v>-484086.28228799999</v>
      </c>
    </row>
    <row r="42" spans="2:16" x14ac:dyDescent="0.25">
      <c r="B42" s="131" t="s">
        <v>237</v>
      </c>
      <c r="C42" s="131">
        <f>SUM(C43:C46)</f>
        <v>262015.03603603604</v>
      </c>
      <c r="D42" s="131">
        <f>SUM(D43:D46)</f>
        <v>59192.75027027027</v>
      </c>
      <c r="E42" s="131">
        <f>SUM(E43:E46)</f>
        <v>56336.900237837835</v>
      </c>
      <c r="F42" s="131">
        <f>SUM(F43:F46)</f>
        <v>53368.605405405404</v>
      </c>
      <c r="G42" s="131">
        <f>SUM(G43:G46)</f>
        <v>50509.572972972972</v>
      </c>
      <c r="K42" s="23" t="s">
        <v>276</v>
      </c>
      <c r="L42" s="23">
        <f>'Hypothèse | 3 ans'!T78</f>
        <v>10714.285714285714</v>
      </c>
      <c r="M42" s="23">
        <f>'Hypothèse | 3 ans'!T168</f>
        <v>11705.95238095238</v>
      </c>
      <c r="N42" s="23">
        <f>'Hypothèse | 3 ans'!$T$259</f>
        <v>15614.285714285714</v>
      </c>
      <c r="O42" s="23">
        <f>'Hypothèse | 3 ans'!$T$259</f>
        <v>15614.285714285714</v>
      </c>
      <c r="P42" s="23">
        <f>'Hypothèse | 3 ans'!$T$259</f>
        <v>15614.285714285714</v>
      </c>
    </row>
    <row r="43" spans="2:16" x14ac:dyDescent="0.25">
      <c r="B43" s="21" t="s">
        <v>277</v>
      </c>
      <c r="C43" s="21">
        <v>200000</v>
      </c>
      <c r="D43" s="21"/>
      <c r="E43" s="21"/>
      <c r="F43" s="21"/>
      <c r="G43" s="21"/>
      <c r="K43" s="23" t="s">
        <v>278</v>
      </c>
      <c r="L43" s="23">
        <f>L41-L42</f>
        <v>-498417.98571428575</v>
      </c>
      <c r="M43" s="23">
        <f>M41-M42</f>
        <v>-494185.36318095238</v>
      </c>
      <c r="N43" s="23">
        <f>N41-N42</f>
        <v>-499700.56800228573</v>
      </c>
      <c r="O43" s="23">
        <f>O41-O42</f>
        <v>-499700.56800228573</v>
      </c>
      <c r="P43" s="23">
        <f>P41-P42</f>
        <v>-499700.56800228573</v>
      </c>
    </row>
    <row r="44" spans="2:16" x14ac:dyDescent="0.25">
      <c r="B44" s="21" t="s">
        <v>238</v>
      </c>
      <c r="C44" s="21">
        <f>Q7</f>
        <v>69.333333333333485</v>
      </c>
      <c r="D44" s="21">
        <f>Q8</f>
        <v>106.08000000000084</v>
      </c>
      <c r="E44" s="21">
        <f>Q9</f>
        <v>109.26240000000143</v>
      </c>
      <c r="F44" s="21"/>
      <c r="G44" s="21"/>
      <c r="K44" s="124" t="s">
        <v>279</v>
      </c>
      <c r="L44" s="124">
        <f>L43*0.25</f>
        <v>-124604.49642857144</v>
      </c>
      <c r="M44" s="124">
        <f>M43*0.25</f>
        <v>-123546.34079523809</v>
      </c>
      <c r="N44" s="124">
        <f>N43*0.25</f>
        <v>-124925.14200057143</v>
      </c>
      <c r="O44" s="124">
        <f>O43*0.25</f>
        <v>-124925.14200057143</v>
      </c>
      <c r="P44" s="124">
        <f>P43*0.25</f>
        <v>-124925.14200057143</v>
      </c>
    </row>
    <row r="45" spans="2:16" x14ac:dyDescent="0.25">
      <c r="B45" s="21" t="s">
        <v>245</v>
      </c>
      <c r="C45" s="21">
        <f>N32</f>
        <v>47650.54054054054</v>
      </c>
      <c r="D45" s="21">
        <f>N33</f>
        <v>47650.54054054054</v>
      </c>
      <c r="E45" s="21">
        <f>N34</f>
        <v>47650.54054054054</v>
      </c>
      <c r="F45" s="21">
        <f>N35</f>
        <v>47650.54054054054</v>
      </c>
      <c r="G45" s="21">
        <f>N36</f>
        <v>47650.54054054054</v>
      </c>
      <c r="K45" s="123" t="s">
        <v>273</v>
      </c>
      <c r="L45" s="123">
        <f>L41-L44</f>
        <v>-363099.20357142854</v>
      </c>
      <c r="M45" s="123">
        <f>M41-M44</f>
        <v>-358933.07000476192</v>
      </c>
      <c r="N45" s="123">
        <f>N41-N44</f>
        <v>-359161.14028742857</v>
      </c>
      <c r="O45" s="123">
        <f>O41-O44</f>
        <v>-359161.14028742857</v>
      </c>
      <c r="P45" s="123">
        <f>P41-P44</f>
        <v>-359161.14028742857</v>
      </c>
    </row>
    <row r="46" spans="2:16" x14ac:dyDescent="0.25">
      <c r="B46" s="34" t="s">
        <v>266</v>
      </c>
      <c r="C46" s="21">
        <f>M32*0.75</f>
        <v>14295.162162162163</v>
      </c>
      <c r="D46" s="21">
        <f>+M33*0.75</f>
        <v>11436.12972972973</v>
      </c>
      <c r="E46" s="21">
        <f>M34*0.75</f>
        <v>8577.0972972972977</v>
      </c>
      <c r="F46" s="21">
        <f>M35*0.75</f>
        <v>5718.0648648648657</v>
      </c>
      <c r="G46" s="21">
        <f>M36*0.75</f>
        <v>2859.0324324324333</v>
      </c>
    </row>
    <row r="47" spans="2:16" x14ac:dyDescent="0.25">
      <c r="B47" s="131" t="s">
        <v>250</v>
      </c>
      <c r="C47" s="132">
        <f>SUM(C48:C52)</f>
        <v>-124846.50086872585</v>
      </c>
      <c r="D47" s="132">
        <f>SUM(D48:D52)</f>
        <v>-258933.07000476192</v>
      </c>
      <c r="E47" s="132">
        <f>SUM(E48:E52)</f>
        <v>-359161.14028742857</v>
      </c>
      <c r="F47" s="132">
        <f>SUM(F48:F52)</f>
        <v>-359161.14028742857</v>
      </c>
      <c r="G47" s="132">
        <f>SUM(G48:G52)</f>
        <v>-359161.14028742857</v>
      </c>
    </row>
    <row r="48" spans="2:16" x14ac:dyDescent="0.25">
      <c r="B48" s="21" t="s">
        <v>253</v>
      </c>
      <c r="C48" s="21">
        <f>L45</f>
        <v>-363099.20357142854</v>
      </c>
      <c r="D48" s="21">
        <f>M45</f>
        <v>-358933.07000476192</v>
      </c>
      <c r="E48" s="21">
        <f>N45</f>
        <v>-359161.14028742857</v>
      </c>
      <c r="F48" s="21">
        <f>O45</f>
        <v>-359161.14028742857</v>
      </c>
      <c r="G48" s="21">
        <f>P45</f>
        <v>-359161.14028742857</v>
      </c>
    </row>
    <row r="49" spans="2:7" x14ac:dyDescent="0.25">
      <c r="B49" s="21" t="s">
        <v>267</v>
      </c>
      <c r="C49" s="21"/>
      <c r="D49" s="21"/>
      <c r="E49" s="21"/>
      <c r="F49" s="21"/>
      <c r="G49" s="21"/>
    </row>
    <row r="50" spans="2:7" x14ac:dyDescent="0.25">
      <c r="B50" s="21" t="s">
        <v>257</v>
      </c>
      <c r="C50" s="21"/>
      <c r="D50" s="21">
        <v>100000</v>
      </c>
      <c r="E50" s="21"/>
      <c r="F50" s="21"/>
      <c r="G50" s="21"/>
    </row>
    <row r="51" spans="2:7" x14ac:dyDescent="0.25">
      <c r="B51" s="21" t="s">
        <v>258</v>
      </c>
      <c r="C51" s="21">
        <f>N27</f>
        <v>238252.70270270269</v>
      </c>
      <c r="D51" s="21"/>
      <c r="E51" s="21"/>
      <c r="F51" s="21"/>
      <c r="G51" s="21"/>
    </row>
    <row r="52" spans="2:7" x14ac:dyDescent="0.25">
      <c r="B52" s="21" t="s">
        <v>259</v>
      </c>
      <c r="C52" s="21"/>
      <c r="D52" s="21"/>
      <c r="E52" s="21"/>
      <c r="F52" s="21"/>
      <c r="G52" s="21"/>
    </row>
    <row r="53" spans="2:7" x14ac:dyDescent="0.25">
      <c r="B53" s="131" t="s">
        <v>260</v>
      </c>
      <c r="C53" s="132">
        <f>C47-C42</f>
        <v>-386861.53690476192</v>
      </c>
      <c r="D53" s="132">
        <f>D47-D42</f>
        <v>-318125.82027503219</v>
      </c>
      <c r="E53" s="132">
        <f>E47-E42</f>
        <v>-415498.04052526643</v>
      </c>
      <c r="F53" s="132">
        <f>F47-F42</f>
        <v>-412529.74569283397</v>
      </c>
      <c r="G53" s="132">
        <f>G47-G42</f>
        <v>-409670.71326040156</v>
      </c>
    </row>
    <row r="54" spans="2:7" x14ac:dyDescent="0.25">
      <c r="B54" s="21" t="s">
        <v>261</v>
      </c>
      <c r="C54" s="21">
        <v>0</v>
      </c>
      <c r="D54" s="21">
        <f>C55</f>
        <v>-386861.53690476192</v>
      </c>
      <c r="E54" s="21">
        <f>D55</f>
        <v>-704987.35717979411</v>
      </c>
      <c r="F54" s="21">
        <f>E55</f>
        <v>-1120485.3977050604</v>
      </c>
      <c r="G54" s="21">
        <f>F55</f>
        <v>-1533015.1433978945</v>
      </c>
    </row>
    <row r="55" spans="2:7" x14ac:dyDescent="0.25">
      <c r="B55" s="21" t="s">
        <v>262</v>
      </c>
      <c r="C55" s="21">
        <f>C53+C54</f>
        <v>-386861.53690476192</v>
      </c>
      <c r="D55" s="21">
        <f>D54+D53</f>
        <v>-704987.35717979411</v>
      </c>
      <c r="E55" s="21">
        <f>E53+E54</f>
        <v>-1120485.3977050604</v>
      </c>
      <c r="F55" s="21">
        <f>F54+F53</f>
        <v>-1533015.1433978945</v>
      </c>
      <c r="G55" s="21">
        <f>G53+G54</f>
        <v>-1942685.856658296</v>
      </c>
    </row>
  </sheetData>
  <mergeCells count="4">
    <mergeCell ref="K23:L23"/>
    <mergeCell ref="K14:L14"/>
    <mergeCell ref="K5:L5"/>
    <mergeCell ref="O5:Q5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C3D3E5-01E6-4234-AE3C-88041F84F9C9}">
  <sheetPr codeName="Feuil18">
    <tabColor theme="9" tint="-0.249977111117893"/>
  </sheetPr>
  <dimension ref="B1:AE277"/>
  <sheetViews>
    <sheetView showGridLines="0" topLeftCell="A133" zoomScale="56" zoomScaleNormal="115" workbookViewId="0">
      <selection activeCell="C197" sqref="C197"/>
    </sheetView>
  </sheetViews>
  <sheetFormatPr baseColWidth="10" defaultColWidth="10.7109375" defaultRowHeight="15" x14ac:dyDescent="0.25"/>
  <cols>
    <col min="1" max="1" width="10.7109375" style="20"/>
    <col min="2" max="2" width="34.85546875" style="20" customWidth="1"/>
    <col min="3" max="3" width="13.7109375" style="20" customWidth="1"/>
    <col min="4" max="4" width="13.42578125" style="20" customWidth="1"/>
    <col min="5" max="5" width="15.5703125" style="20" customWidth="1"/>
    <col min="6" max="6" width="13.85546875" style="20" customWidth="1"/>
    <col min="7" max="7" width="13.140625" style="20" customWidth="1"/>
    <col min="8" max="8" width="12.85546875" style="20" customWidth="1"/>
    <col min="9" max="9" width="17.28515625" style="20" customWidth="1"/>
    <col min="10" max="11" width="13.7109375" style="20" customWidth="1"/>
    <col min="12" max="12" width="15.85546875" style="20" customWidth="1"/>
    <col min="13" max="13" width="13.28515625" style="20" customWidth="1"/>
    <col min="14" max="14" width="14.85546875" style="20" customWidth="1"/>
    <col min="15" max="15" width="32.42578125" style="20" bestFit="1" customWidth="1"/>
    <col min="16" max="16" width="14.85546875" style="20" customWidth="1"/>
    <col min="17" max="18" width="9.140625" style="20" bestFit="1" customWidth="1"/>
    <col min="19" max="19" width="36.42578125" style="20" customWidth="1"/>
    <col min="20" max="20" width="15.7109375" style="20" customWidth="1"/>
    <col min="21" max="21" width="11.42578125" style="20" customWidth="1"/>
    <col min="22" max="22" width="36.85546875" style="20" customWidth="1"/>
    <col min="23" max="23" width="9.140625" style="20" customWidth="1"/>
    <col min="24" max="24" width="11.85546875" style="20" bestFit="1" customWidth="1"/>
    <col min="25" max="25" width="19.5703125" style="20" customWidth="1"/>
    <col min="26" max="26" width="40.28515625" style="20" bestFit="1" customWidth="1"/>
    <col min="27" max="27" width="18.85546875" style="20" customWidth="1"/>
    <col min="28" max="29" width="10.7109375" style="20" bestFit="1" customWidth="1"/>
    <col min="30" max="30" width="24.7109375" style="20" customWidth="1"/>
    <col min="31" max="31" width="15.5703125" style="20" customWidth="1"/>
    <col min="32" max="32" width="10.7109375" style="20" bestFit="1" customWidth="1"/>
    <col min="33" max="33" width="20.42578125" style="20" customWidth="1"/>
    <col min="34" max="36" width="10.7109375" style="20" bestFit="1" customWidth="1"/>
    <col min="37" max="37" width="18.85546875" style="20" customWidth="1"/>
    <col min="38" max="38" width="23.5703125" style="20" customWidth="1"/>
    <col min="39" max="16384" width="10.7109375" style="20"/>
  </cols>
  <sheetData>
    <row r="1" spans="2:16" ht="21" x14ac:dyDescent="0.35">
      <c r="B1" s="291" t="s">
        <v>48</v>
      </c>
      <c r="C1" s="291"/>
      <c r="D1" s="291"/>
      <c r="E1" s="291"/>
      <c r="F1" s="291"/>
      <c r="G1" s="291"/>
      <c r="H1" s="291"/>
      <c r="I1" s="291"/>
      <c r="J1" s="291"/>
      <c r="K1" s="291"/>
      <c r="L1" s="291"/>
      <c r="M1" s="291"/>
      <c r="N1" s="291"/>
      <c r="O1" s="291"/>
      <c r="P1" s="291"/>
    </row>
    <row r="2" spans="2:16" x14ac:dyDescent="0.25">
      <c r="B2" s="288" t="s">
        <v>49</v>
      </c>
      <c r="C2" s="288"/>
      <c r="D2" s="288"/>
      <c r="E2" s="288"/>
      <c r="F2" s="288"/>
      <c r="G2" s="288"/>
      <c r="H2" s="288"/>
      <c r="I2" s="288"/>
      <c r="J2" s="288"/>
      <c r="K2" s="288"/>
      <c r="L2" s="288"/>
      <c r="M2" s="288"/>
      <c r="N2" s="288"/>
      <c r="O2" s="288"/>
      <c r="P2" s="288"/>
    </row>
    <row r="3" spans="2:16" ht="14.25" customHeight="1" x14ac:dyDescent="0.25">
      <c r="B3" s="213"/>
      <c r="C3" s="215" t="s">
        <v>50</v>
      </c>
      <c r="D3" s="215" t="s">
        <v>51</v>
      </c>
      <c r="E3" s="215" t="s">
        <v>52</v>
      </c>
      <c r="F3" s="215" t="s">
        <v>53</v>
      </c>
      <c r="G3" s="215" t="s">
        <v>54</v>
      </c>
      <c r="H3" s="215" t="s">
        <v>55</v>
      </c>
      <c r="I3" s="215" t="s">
        <v>56</v>
      </c>
      <c r="J3" s="215" t="s">
        <v>57</v>
      </c>
      <c r="K3" s="215" t="s">
        <v>58</v>
      </c>
      <c r="L3" s="215" t="s">
        <v>59</v>
      </c>
      <c r="M3" s="215" t="s">
        <v>60</v>
      </c>
      <c r="N3" s="215" t="s">
        <v>61</v>
      </c>
      <c r="O3" s="220" t="s">
        <v>62</v>
      </c>
      <c r="P3" s="221"/>
    </row>
    <row r="4" spans="2:16" ht="14.25" customHeight="1" x14ac:dyDescent="0.25">
      <c r="B4" s="214"/>
      <c r="C4" s="216"/>
      <c r="D4" s="216"/>
      <c r="E4" s="216"/>
      <c r="F4" s="216"/>
      <c r="G4" s="216"/>
      <c r="H4" s="216"/>
      <c r="I4" s="216"/>
      <c r="J4" s="216"/>
      <c r="K4" s="216"/>
      <c r="L4" s="216"/>
      <c r="M4" s="216"/>
      <c r="N4" s="216"/>
      <c r="O4" s="58" t="s">
        <v>64</v>
      </c>
      <c r="P4" s="58" t="s">
        <v>65</v>
      </c>
    </row>
    <row r="5" spans="2:16" x14ac:dyDescent="0.25">
      <c r="B5" s="34" t="s">
        <v>66</v>
      </c>
      <c r="C5" s="34">
        <f>'Bilan et CDR N'!$C$5*1.01/12</f>
        <v>5252</v>
      </c>
      <c r="D5" s="34">
        <f>'Bilan et CDR N'!$C$5*1.01/12</f>
        <v>5252</v>
      </c>
      <c r="E5" s="34">
        <f>'Bilan et CDR N'!$C$5*1.01/12</f>
        <v>5252</v>
      </c>
      <c r="F5" s="34">
        <f>'Bilan et CDR N'!$C$5*1.01/12</f>
        <v>5252</v>
      </c>
      <c r="G5" s="34">
        <f>'Bilan et CDR N'!$C$5*1.01/12</f>
        <v>5252</v>
      </c>
      <c r="H5" s="34">
        <f>'Bilan et CDR N'!$C$5*1.01/12</f>
        <v>5252</v>
      </c>
      <c r="I5" s="34">
        <f>'Bilan et CDR N'!$C$5*1.01/12</f>
        <v>5252</v>
      </c>
      <c r="J5" s="34">
        <f>'Bilan et CDR N'!$C$5*1.01/12</f>
        <v>5252</v>
      </c>
      <c r="K5" s="34">
        <f>'Bilan et CDR N'!$C$5*1.01/12</f>
        <v>5252</v>
      </c>
      <c r="L5" s="34">
        <f>'Bilan et CDR N'!$C$5*1.01/12</f>
        <v>5252</v>
      </c>
      <c r="M5" s="34">
        <f>'Bilan et CDR N'!$C$5*1.01/12</f>
        <v>5252</v>
      </c>
      <c r="N5" s="34">
        <f>'Bilan et CDR N'!$C$5*1.01/12</f>
        <v>5252</v>
      </c>
      <c r="O5" s="60" t="s">
        <v>1</v>
      </c>
      <c r="P5" s="61">
        <f>SUM(C5:N5)</f>
        <v>63024</v>
      </c>
    </row>
    <row r="6" spans="2:16" ht="14.25" customHeight="1" x14ac:dyDescent="0.25">
      <c r="B6" s="34" t="s">
        <v>68</v>
      </c>
      <c r="C6" s="34">
        <f t="shared" ref="C6:N6" si="0">C5*20%</f>
        <v>1050.4000000000001</v>
      </c>
      <c r="D6" s="34">
        <f t="shared" si="0"/>
        <v>1050.4000000000001</v>
      </c>
      <c r="E6" s="34">
        <f t="shared" si="0"/>
        <v>1050.4000000000001</v>
      </c>
      <c r="F6" s="34">
        <f t="shared" si="0"/>
        <v>1050.4000000000001</v>
      </c>
      <c r="G6" s="34">
        <f t="shared" si="0"/>
        <v>1050.4000000000001</v>
      </c>
      <c r="H6" s="34">
        <f t="shared" si="0"/>
        <v>1050.4000000000001</v>
      </c>
      <c r="I6" s="34">
        <f t="shared" si="0"/>
        <v>1050.4000000000001</v>
      </c>
      <c r="J6" s="34">
        <f t="shared" si="0"/>
        <v>1050.4000000000001</v>
      </c>
      <c r="K6" s="34">
        <f t="shared" si="0"/>
        <v>1050.4000000000001</v>
      </c>
      <c r="L6" s="34">
        <f t="shared" si="0"/>
        <v>1050.4000000000001</v>
      </c>
      <c r="M6" s="34">
        <f t="shared" si="0"/>
        <v>1050.4000000000001</v>
      </c>
      <c r="N6" s="34">
        <f t="shared" si="0"/>
        <v>1050.4000000000001</v>
      </c>
      <c r="O6" s="34"/>
      <c r="P6" s="34"/>
    </row>
    <row r="7" spans="2:16" ht="14.25" customHeight="1" x14ac:dyDescent="0.25">
      <c r="B7" s="34" t="s">
        <v>69</v>
      </c>
      <c r="C7" s="34">
        <f t="shared" ref="C7:N7" si="1">C5+C6</f>
        <v>6302.4</v>
      </c>
      <c r="D7" s="34">
        <f t="shared" si="1"/>
        <v>6302.4</v>
      </c>
      <c r="E7" s="34">
        <f t="shared" si="1"/>
        <v>6302.4</v>
      </c>
      <c r="F7" s="34">
        <f t="shared" si="1"/>
        <v>6302.4</v>
      </c>
      <c r="G7" s="34">
        <f t="shared" si="1"/>
        <v>6302.4</v>
      </c>
      <c r="H7" s="34">
        <f t="shared" si="1"/>
        <v>6302.4</v>
      </c>
      <c r="I7" s="34">
        <f t="shared" si="1"/>
        <v>6302.4</v>
      </c>
      <c r="J7" s="34">
        <f t="shared" si="1"/>
        <v>6302.4</v>
      </c>
      <c r="K7" s="34">
        <f t="shared" si="1"/>
        <v>6302.4</v>
      </c>
      <c r="L7" s="34">
        <f t="shared" si="1"/>
        <v>6302.4</v>
      </c>
      <c r="M7" s="34">
        <f t="shared" si="1"/>
        <v>6302.4</v>
      </c>
      <c r="N7" s="34">
        <f t="shared" si="1"/>
        <v>6302.4</v>
      </c>
      <c r="O7" s="34"/>
      <c r="P7" s="34"/>
    </row>
    <row r="8" spans="2:16" x14ac:dyDescent="0.25">
      <c r="B8" s="81" t="s">
        <v>139</v>
      </c>
      <c r="C8" s="81">
        <f>'Bilan et CDR N'!I14+C7*0.5</f>
        <v>81151.199999999997</v>
      </c>
      <c r="D8" s="81">
        <f t="shared" ref="D8:N8" si="2">C7*0.5+D7*0.5</f>
        <v>6302.4</v>
      </c>
      <c r="E8" s="81">
        <f t="shared" si="2"/>
        <v>6302.4</v>
      </c>
      <c r="F8" s="81">
        <f t="shared" si="2"/>
        <v>6302.4</v>
      </c>
      <c r="G8" s="81">
        <f t="shared" si="2"/>
        <v>6302.4</v>
      </c>
      <c r="H8" s="81">
        <f t="shared" si="2"/>
        <v>6302.4</v>
      </c>
      <c r="I8" s="81">
        <f t="shared" si="2"/>
        <v>6302.4</v>
      </c>
      <c r="J8" s="81">
        <f t="shared" si="2"/>
        <v>6302.4</v>
      </c>
      <c r="K8" s="81">
        <f t="shared" si="2"/>
        <v>6302.4</v>
      </c>
      <c r="L8" s="81">
        <f t="shared" si="2"/>
        <v>6302.4</v>
      </c>
      <c r="M8" s="81">
        <f t="shared" si="2"/>
        <v>6302.4</v>
      </c>
      <c r="N8" s="81">
        <f t="shared" si="2"/>
        <v>6302.4</v>
      </c>
      <c r="O8" s="82" t="s">
        <v>72</v>
      </c>
      <c r="P8" s="83">
        <f>N7*0.5</f>
        <v>3151.2</v>
      </c>
    </row>
    <row r="9" spans="2:16" x14ac:dyDescent="0.25">
      <c r="B9" s="34" t="s">
        <v>208</v>
      </c>
      <c r="C9" s="34"/>
      <c r="D9" s="34"/>
      <c r="E9" s="34">
        <v>30000</v>
      </c>
      <c r="F9" s="34"/>
      <c r="G9" s="34"/>
      <c r="H9" s="34"/>
      <c r="I9" s="34"/>
      <c r="J9" s="34"/>
      <c r="K9" s="34"/>
      <c r="L9" s="34"/>
      <c r="M9" s="34"/>
      <c r="N9" s="34"/>
      <c r="O9" s="61" t="s">
        <v>209</v>
      </c>
      <c r="P9" s="61">
        <v>30000</v>
      </c>
    </row>
    <row r="11" spans="2:16" ht="14.25" customHeight="1" x14ac:dyDescent="0.25">
      <c r="B11" s="288" t="s">
        <v>74</v>
      </c>
      <c r="C11" s="288"/>
      <c r="D11" s="288"/>
      <c r="E11" s="288"/>
      <c r="F11" s="288"/>
      <c r="G11" s="288"/>
      <c r="H11" s="288"/>
      <c r="I11" s="288"/>
      <c r="J11" s="288"/>
      <c r="K11" s="288"/>
      <c r="L11" s="288"/>
      <c r="M11" s="288"/>
      <c r="N11" s="288"/>
      <c r="O11" s="288"/>
      <c r="P11" s="288"/>
    </row>
    <row r="12" spans="2:16" x14ac:dyDescent="0.25">
      <c r="B12" s="213"/>
      <c r="C12" s="215" t="s">
        <v>50</v>
      </c>
      <c r="D12" s="215" t="s">
        <v>51</v>
      </c>
      <c r="E12" s="215" t="s">
        <v>52</v>
      </c>
      <c r="F12" s="215" t="s">
        <v>53</v>
      </c>
      <c r="G12" s="215" t="s">
        <v>54</v>
      </c>
      <c r="H12" s="215" t="s">
        <v>55</v>
      </c>
      <c r="I12" s="215" t="s">
        <v>56</v>
      </c>
      <c r="J12" s="215" t="s">
        <v>57</v>
      </c>
      <c r="K12" s="215" t="s">
        <v>58</v>
      </c>
      <c r="L12" s="215" t="s">
        <v>59</v>
      </c>
      <c r="M12" s="215" t="s">
        <v>60</v>
      </c>
      <c r="N12" s="215" t="s">
        <v>61</v>
      </c>
      <c r="O12" s="220" t="s">
        <v>62</v>
      </c>
      <c r="P12" s="221"/>
    </row>
    <row r="13" spans="2:16" ht="14.25" customHeight="1" x14ac:dyDescent="0.25">
      <c r="B13" s="214"/>
      <c r="C13" s="216"/>
      <c r="D13" s="216"/>
      <c r="E13" s="216"/>
      <c r="F13" s="216"/>
      <c r="G13" s="216"/>
      <c r="H13" s="216"/>
      <c r="I13" s="216"/>
      <c r="J13" s="216"/>
      <c r="K13" s="216"/>
      <c r="L13" s="216"/>
      <c r="M13" s="216"/>
      <c r="N13" s="216"/>
      <c r="O13" s="58" t="s">
        <v>64</v>
      </c>
      <c r="P13" s="58" t="s">
        <v>65</v>
      </c>
    </row>
    <row r="14" spans="2:16" x14ac:dyDescent="0.25">
      <c r="B14" s="34" t="s">
        <v>77</v>
      </c>
      <c r="C14" s="34">
        <f t="shared" ref="C14:N14" si="3">C5*30%</f>
        <v>1575.6</v>
      </c>
      <c r="D14" s="34">
        <f t="shared" si="3"/>
        <v>1575.6</v>
      </c>
      <c r="E14" s="34">
        <f t="shared" si="3"/>
        <v>1575.6</v>
      </c>
      <c r="F14" s="34">
        <f t="shared" si="3"/>
        <v>1575.6</v>
      </c>
      <c r="G14" s="34">
        <f t="shared" si="3"/>
        <v>1575.6</v>
      </c>
      <c r="H14" s="34">
        <f t="shared" si="3"/>
        <v>1575.6</v>
      </c>
      <c r="I14" s="34">
        <f t="shared" si="3"/>
        <v>1575.6</v>
      </c>
      <c r="J14" s="34">
        <f t="shared" si="3"/>
        <v>1575.6</v>
      </c>
      <c r="K14" s="34">
        <f t="shared" si="3"/>
        <v>1575.6</v>
      </c>
      <c r="L14" s="34">
        <f t="shared" si="3"/>
        <v>1575.6</v>
      </c>
      <c r="M14" s="34">
        <f t="shared" si="3"/>
        <v>1575.6</v>
      </c>
      <c r="N14" s="34">
        <f t="shared" si="3"/>
        <v>1575.6</v>
      </c>
      <c r="O14" s="60" t="s">
        <v>78</v>
      </c>
      <c r="P14" s="61">
        <f>SUM(C14:N14)</f>
        <v>18907.2</v>
      </c>
    </row>
    <row r="15" spans="2:16" ht="14.25" customHeight="1" x14ac:dyDescent="0.25">
      <c r="B15" s="34" t="s">
        <v>79</v>
      </c>
      <c r="C15" s="34">
        <f t="shared" ref="C15:N15" si="4">C14*20%</f>
        <v>315.12</v>
      </c>
      <c r="D15" s="34">
        <f t="shared" si="4"/>
        <v>315.12</v>
      </c>
      <c r="E15" s="34">
        <f t="shared" si="4"/>
        <v>315.12</v>
      </c>
      <c r="F15" s="34">
        <f t="shared" si="4"/>
        <v>315.12</v>
      </c>
      <c r="G15" s="34">
        <f t="shared" si="4"/>
        <v>315.12</v>
      </c>
      <c r="H15" s="34">
        <f t="shared" si="4"/>
        <v>315.12</v>
      </c>
      <c r="I15" s="34">
        <f t="shared" si="4"/>
        <v>315.12</v>
      </c>
      <c r="J15" s="34">
        <f t="shared" si="4"/>
        <v>315.12</v>
      </c>
      <c r="K15" s="34">
        <f t="shared" si="4"/>
        <v>315.12</v>
      </c>
      <c r="L15" s="34">
        <f t="shared" si="4"/>
        <v>315.12</v>
      </c>
      <c r="M15" s="34">
        <f t="shared" si="4"/>
        <v>315.12</v>
      </c>
      <c r="N15" s="34">
        <f t="shared" si="4"/>
        <v>315.12</v>
      </c>
      <c r="O15" s="34"/>
      <c r="P15" s="34"/>
    </row>
    <row r="16" spans="2:16" x14ac:dyDescent="0.25">
      <c r="B16" s="34" t="s">
        <v>80</v>
      </c>
      <c r="C16" s="34">
        <f t="shared" ref="C16:N16" si="5">C14+C15</f>
        <v>1890.7199999999998</v>
      </c>
      <c r="D16" s="34">
        <f t="shared" si="5"/>
        <v>1890.7199999999998</v>
      </c>
      <c r="E16" s="34">
        <f t="shared" si="5"/>
        <v>1890.7199999999998</v>
      </c>
      <c r="F16" s="34">
        <f t="shared" si="5"/>
        <v>1890.7199999999998</v>
      </c>
      <c r="G16" s="34">
        <f t="shared" si="5"/>
        <v>1890.7199999999998</v>
      </c>
      <c r="H16" s="34">
        <f t="shared" si="5"/>
        <v>1890.7199999999998</v>
      </c>
      <c r="I16" s="34">
        <f t="shared" si="5"/>
        <v>1890.7199999999998</v>
      </c>
      <c r="J16" s="34">
        <f t="shared" si="5"/>
        <v>1890.7199999999998</v>
      </c>
      <c r="K16" s="34">
        <f t="shared" si="5"/>
        <v>1890.7199999999998</v>
      </c>
      <c r="L16" s="34">
        <f t="shared" si="5"/>
        <v>1890.7199999999998</v>
      </c>
      <c r="M16" s="34">
        <f t="shared" si="5"/>
        <v>1890.7199999999998</v>
      </c>
      <c r="N16" s="34">
        <f t="shared" si="5"/>
        <v>1890.7199999999998</v>
      </c>
      <c r="O16" s="34"/>
      <c r="P16" s="34"/>
    </row>
    <row r="17" spans="2:16" x14ac:dyDescent="0.25">
      <c r="B17" s="59" t="s">
        <v>81</v>
      </c>
      <c r="C17" s="59">
        <f>C16+'Bilan et CDR N'!K14</f>
        <v>25390.720000000001</v>
      </c>
      <c r="D17" s="59">
        <f t="shared" ref="D17:N17" si="6">D16</f>
        <v>1890.7199999999998</v>
      </c>
      <c r="E17" s="59">
        <f t="shared" si="6"/>
        <v>1890.7199999999998</v>
      </c>
      <c r="F17" s="59">
        <f t="shared" si="6"/>
        <v>1890.7199999999998</v>
      </c>
      <c r="G17" s="59">
        <f t="shared" si="6"/>
        <v>1890.7199999999998</v>
      </c>
      <c r="H17" s="59">
        <f t="shared" si="6"/>
        <v>1890.7199999999998</v>
      </c>
      <c r="I17" s="59">
        <f t="shared" si="6"/>
        <v>1890.7199999999998</v>
      </c>
      <c r="J17" s="59">
        <f t="shared" si="6"/>
        <v>1890.7199999999998</v>
      </c>
      <c r="K17" s="59">
        <f t="shared" si="6"/>
        <v>1890.7199999999998</v>
      </c>
      <c r="L17" s="59">
        <f t="shared" si="6"/>
        <v>1890.7199999999998</v>
      </c>
      <c r="M17" s="59">
        <f t="shared" si="6"/>
        <v>1890.7199999999998</v>
      </c>
      <c r="N17" s="59">
        <f t="shared" si="6"/>
        <v>1890.7199999999998</v>
      </c>
      <c r="O17" s="60" t="s">
        <v>82</v>
      </c>
      <c r="P17" s="61">
        <v>0</v>
      </c>
    </row>
    <row r="20" spans="2:16" x14ac:dyDescent="0.25">
      <c r="B20" s="288" t="s">
        <v>83</v>
      </c>
      <c r="C20" s="288"/>
      <c r="D20" s="288"/>
      <c r="E20" s="288"/>
      <c r="F20" s="288"/>
      <c r="G20" s="288"/>
      <c r="H20" s="288"/>
      <c r="I20" s="288"/>
      <c r="J20" s="288"/>
      <c r="K20" s="288"/>
      <c r="L20" s="288"/>
      <c r="M20" s="288"/>
      <c r="N20" s="288"/>
      <c r="O20" s="288"/>
      <c r="P20" s="288"/>
    </row>
    <row r="21" spans="2:16" x14ac:dyDescent="0.25">
      <c r="B21" s="213"/>
      <c r="C21" s="215" t="s">
        <v>50</v>
      </c>
      <c r="D21" s="215" t="s">
        <v>51</v>
      </c>
      <c r="E21" s="215" t="s">
        <v>52</v>
      </c>
      <c r="F21" s="215" t="s">
        <v>53</v>
      </c>
      <c r="G21" s="215" t="s">
        <v>54</v>
      </c>
      <c r="H21" s="215" t="s">
        <v>55</v>
      </c>
      <c r="I21" s="215" t="s">
        <v>56</v>
      </c>
      <c r="J21" s="215" t="s">
        <v>57</v>
      </c>
      <c r="K21" s="215" t="s">
        <v>58</v>
      </c>
      <c r="L21" s="215" t="s">
        <v>59</v>
      </c>
      <c r="M21" s="215" t="s">
        <v>60</v>
      </c>
      <c r="N21" s="215" t="s">
        <v>61</v>
      </c>
      <c r="O21" s="220" t="s">
        <v>62</v>
      </c>
      <c r="P21" s="221"/>
    </row>
    <row r="22" spans="2:16" x14ac:dyDescent="0.25">
      <c r="B22" s="214"/>
      <c r="C22" s="216"/>
      <c r="D22" s="216"/>
      <c r="E22" s="216"/>
      <c r="F22" s="216"/>
      <c r="G22" s="216"/>
      <c r="H22" s="216"/>
      <c r="I22" s="216"/>
      <c r="J22" s="216"/>
      <c r="K22" s="216"/>
      <c r="L22" s="216"/>
      <c r="M22" s="216"/>
      <c r="N22" s="216"/>
      <c r="O22" s="58" t="s">
        <v>64</v>
      </c>
      <c r="P22" s="58" t="s">
        <v>65</v>
      </c>
    </row>
    <row r="23" spans="2:16" x14ac:dyDescent="0.25">
      <c r="B23" s="34" t="s">
        <v>84</v>
      </c>
      <c r="C23" s="34">
        <v>7100</v>
      </c>
      <c r="D23" s="34">
        <v>7100</v>
      </c>
      <c r="E23" s="34">
        <v>7100</v>
      </c>
      <c r="F23" s="34">
        <v>7100</v>
      </c>
      <c r="G23" s="34">
        <v>7100</v>
      </c>
      <c r="H23" s="34">
        <v>7100</v>
      </c>
      <c r="I23" s="34">
        <v>7100</v>
      </c>
      <c r="J23" s="34">
        <v>7100</v>
      </c>
      <c r="K23" s="34">
        <v>7100</v>
      </c>
      <c r="L23" s="34">
        <v>7100</v>
      </c>
      <c r="M23" s="34">
        <v>7100</v>
      </c>
      <c r="N23" s="34">
        <v>7100</v>
      </c>
      <c r="O23" s="60" t="s">
        <v>85</v>
      </c>
      <c r="P23" s="61">
        <f>SUM(C23:N23)</f>
        <v>85200</v>
      </c>
    </row>
    <row r="24" spans="2:16" x14ac:dyDescent="0.25">
      <c r="B24" s="34" t="s">
        <v>86</v>
      </c>
      <c r="C24" s="34">
        <f t="shared" ref="C24:N24" si="7">C23*20%</f>
        <v>1420</v>
      </c>
      <c r="D24" s="34">
        <f t="shared" si="7"/>
        <v>1420</v>
      </c>
      <c r="E24" s="34">
        <f t="shared" si="7"/>
        <v>1420</v>
      </c>
      <c r="F24" s="34">
        <f t="shared" si="7"/>
        <v>1420</v>
      </c>
      <c r="G24" s="34">
        <f t="shared" si="7"/>
        <v>1420</v>
      </c>
      <c r="H24" s="34">
        <f t="shared" si="7"/>
        <v>1420</v>
      </c>
      <c r="I24" s="34">
        <f t="shared" si="7"/>
        <v>1420</v>
      </c>
      <c r="J24" s="34">
        <f t="shared" si="7"/>
        <v>1420</v>
      </c>
      <c r="K24" s="34">
        <f t="shared" si="7"/>
        <v>1420</v>
      </c>
      <c r="L24" s="34">
        <f t="shared" si="7"/>
        <v>1420</v>
      </c>
      <c r="M24" s="34">
        <f t="shared" si="7"/>
        <v>1420</v>
      </c>
      <c r="N24" s="34">
        <f t="shared" si="7"/>
        <v>1420</v>
      </c>
      <c r="O24" s="34"/>
      <c r="P24" s="34"/>
    </row>
    <row r="25" spans="2:16" x14ac:dyDescent="0.25">
      <c r="B25" s="142" t="s">
        <v>223</v>
      </c>
      <c r="C25" s="34">
        <f t="shared" ref="C25:N25" si="8">$P$25/12</f>
        <v>308.03571428571428</v>
      </c>
      <c r="D25" s="34">
        <f t="shared" si="8"/>
        <v>308.03571428571428</v>
      </c>
      <c r="E25" s="34">
        <f t="shared" si="8"/>
        <v>308.03571428571428</v>
      </c>
      <c r="F25" s="34">
        <f t="shared" si="8"/>
        <v>308.03571428571428</v>
      </c>
      <c r="G25" s="34">
        <f t="shared" si="8"/>
        <v>308.03571428571428</v>
      </c>
      <c r="H25" s="34">
        <f t="shared" si="8"/>
        <v>308.03571428571428</v>
      </c>
      <c r="I25" s="34">
        <f t="shared" si="8"/>
        <v>308.03571428571428</v>
      </c>
      <c r="J25" s="34">
        <f t="shared" si="8"/>
        <v>308.03571428571428</v>
      </c>
      <c r="K25" s="34">
        <f t="shared" si="8"/>
        <v>308.03571428571428</v>
      </c>
      <c r="L25" s="34">
        <f t="shared" si="8"/>
        <v>308.03571428571428</v>
      </c>
      <c r="M25" s="34">
        <f t="shared" si="8"/>
        <v>308.03571428571428</v>
      </c>
      <c r="N25" s="34">
        <f t="shared" si="8"/>
        <v>308.03571428571428</v>
      </c>
      <c r="O25" s="61" t="s">
        <v>224</v>
      </c>
      <c r="P25" s="61">
        <f>Emprunt!S4</f>
        <v>3696.4285714285711</v>
      </c>
    </row>
    <row r="26" spans="2:16" x14ac:dyDescent="0.25">
      <c r="B26" s="166" t="s">
        <v>232</v>
      </c>
      <c r="C26" s="166"/>
      <c r="D26" s="166"/>
      <c r="E26" s="166"/>
      <c r="F26" s="166"/>
      <c r="G26" s="166"/>
      <c r="H26" s="166"/>
      <c r="I26" s="166"/>
      <c r="J26" s="166"/>
      <c r="K26" s="166"/>
      <c r="L26" s="166"/>
      <c r="M26" s="166"/>
      <c r="N26" s="166"/>
      <c r="O26" s="34"/>
      <c r="P26" s="34"/>
    </row>
    <row r="27" spans="2:16" x14ac:dyDescent="0.25">
      <c r="B27" s="34" t="s">
        <v>87</v>
      </c>
      <c r="C27" s="34">
        <f t="shared" ref="C27:N27" si="9">SUM(C23:C26)</f>
        <v>8828.0357142857138</v>
      </c>
      <c r="D27" s="34">
        <f t="shared" si="9"/>
        <v>8828.0357142857138</v>
      </c>
      <c r="E27" s="34">
        <f t="shared" si="9"/>
        <v>8828.0357142857138</v>
      </c>
      <c r="F27" s="34">
        <f t="shared" si="9"/>
        <v>8828.0357142857138</v>
      </c>
      <c r="G27" s="34">
        <f t="shared" si="9"/>
        <v>8828.0357142857138</v>
      </c>
      <c r="H27" s="34">
        <f t="shared" si="9"/>
        <v>8828.0357142857138</v>
      </c>
      <c r="I27" s="34">
        <f t="shared" si="9"/>
        <v>8828.0357142857138</v>
      </c>
      <c r="J27" s="34">
        <f t="shared" si="9"/>
        <v>8828.0357142857138</v>
      </c>
      <c r="K27" s="34">
        <f t="shared" si="9"/>
        <v>8828.0357142857138</v>
      </c>
      <c r="L27" s="34">
        <f t="shared" si="9"/>
        <v>8828.0357142857138</v>
      </c>
      <c r="M27" s="34">
        <f t="shared" si="9"/>
        <v>8828.0357142857138</v>
      </c>
      <c r="N27" s="34">
        <f t="shared" si="9"/>
        <v>8828.0357142857138</v>
      </c>
      <c r="O27" s="34"/>
      <c r="P27" s="34"/>
    </row>
    <row r="28" spans="2:16" x14ac:dyDescent="0.25">
      <c r="B28" s="59" t="s">
        <v>81</v>
      </c>
      <c r="C28" s="59">
        <f t="shared" ref="C28:N28" si="10">C27</f>
        <v>8828.0357142857138</v>
      </c>
      <c r="D28" s="59">
        <f t="shared" si="10"/>
        <v>8828.0357142857138</v>
      </c>
      <c r="E28" s="59">
        <f t="shared" si="10"/>
        <v>8828.0357142857138</v>
      </c>
      <c r="F28" s="59">
        <f t="shared" si="10"/>
        <v>8828.0357142857138</v>
      </c>
      <c r="G28" s="59">
        <f t="shared" si="10"/>
        <v>8828.0357142857138</v>
      </c>
      <c r="H28" s="59">
        <f t="shared" si="10"/>
        <v>8828.0357142857138</v>
      </c>
      <c r="I28" s="59">
        <f t="shared" si="10"/>
        <v>8828.0357142857138</v>
      </c>
      <c r="J28" s="59">
        <f t="shared" si="10"/>
        <v>8828.0357142857138</v>
      </c>
      <c r="K28" s="59">
        <f t="shared" si="10"/>
        <v>8828.0357142857138</v>
      </c>
      <c r="L28" s="59">
        <f t="shared" si="10"/>
        <v>8828.0357142857138</v>
      </c>
      <c r="M28" s="59">
        <f t="shared" si="10"/>
        <v>8828.0357142857138</v>
      </c>
      <c r="N28" s="59">
        <f t="shared" si="10"/>
        <v>8828.0357142857138</v>
      </c>
      <c r="O28" s="34"/>
      <c r="P28" s="34"/>
    </row>
    <row r="29" spans="2:16" x14ac:dyDescent="0.25">
      <c r="B29" s="34" t="s">
        <v>89</v>
      </c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>
        <v>7500</v>
      </c>
      <c r="O29" s="34"/>
      <c r="P29" s="34"/>
    </row>
    <row r="30" spans="2:16" x14ac:dyDescent="0.25">
      <c r="B30" s="59" t="s">
        <v>94</v>
      </c>
      <c r="C30" s="59">
        <f>C29</f>
        <v>0</v>
      </c>
      <c r="D30" s="59">
        <f t="shared" ref="D30:N30" si="11">D29</f>
        <v>0</v>
      </c>
      <c r="E30" s="59">
        <f t="shared" si="11"/>
        <v>0</v>
      </c>
      <c r="F30" s="59">
        <f t="shared" si="11"/>
        <v>0</v>
      </c>
      <c r="G30" s="59">
        <f t="shared" si="11"/>
        <v>0</v>
      </c>
      <c r="H30" s="59">
        <f t="shared" si="11"/>
        <v>0</v>
      </c>
      <c r="I30" s="59">
        <f t="shared" si="11"/>
        <v>0</v>
      </c>
      <c r="J30" s="59">
        <f t="shared" si="11"/>
        <v>0</v>
      </c>
      <c r="K30" s="59">
        <f t="shared" si="11"/>
        <v>0</v>
      </c>
      <c r="L30" s="59">
        <f t="shared" si="11"/>
        <v>0</v>
      </c>
      <c r="M30" s="59">
        <f t="shared" si="11"/>
        <v>0</v>
      </c>
      <c r="N30" s="59">
        <f t="shared" si="11"/>
        <v>7500</v>
      </c>
      <c r="O30" s="60" t="s">
        <v>93</v>
      </c>
      <c r="P30" s="61">
        <f>SUM(C30:N30)</f>
        <v>7500</v>
      </c>
    </row>
    <row r="31" spans="2:16" x14ac:dyDescent="0.25">
      <c r="B31" s="34" t="s">
        <v>95</v>
      </c>
      <c r="C31" s="34">
        <f t="shared" ref="C31:N31" si="12">307500/12</f>
        <v>25625</v>
      </c>
      <c r="D31" s="34">
        <f t="shared" si="12"/>
        <v>25625</v>
      </c>
      <c r="E31" s="34">
        <f t="shared" si="12"/>
        <v>25625</v>
      </c>
      <c r="F31" s="34">
        <f t="shared" si="12"/>
        <v>25625</v>
      </c>
      <c r="G31" s="34">
        <f t="shared" si="12"/>
        <v>25625</v>
      </c>
      <c r="H31" s="34">
        <f t="shared" si="12"/>
        <v>25625</v>
      </c>
      <c r="I31" s="34">
        <f t="shared" si="12"/>
        <v>25625</v>
      </c>
      <c r="J31" s="34">
        <f t="shared" si="12"/>
        <v>25625</v>
      </c>
      <c r="K31" s="34">
        <f t="shared" si="12"/>
        <v>25625</v>
      </c>
      <c r="L31" s="34">
        <f t="shared" si="12"/>
        <v>25625</v>
      </c>
      <c r="M31" s="34">
        <f t="shared" si="12"/>
        <v>25625</v>
      </c>
      <c r="N31" s="34">
        <f t="shared" si="12"/>
        <v>25625</v>
      </c>
      <c r="O31" s="37"/>
      <c r="P31" s="37"/>
    </row>
    <row r="32" spans="2:16" x14ac:dyDescent="0.25">
      <c r="B32" s="59" t="s">
        <v>96</v>
      </c>
      <c r="C32" s="59">
        <f t="shared" ref="C32:N32" si="13">C31</f>
        <v>25625</v>
      </c>
      <c r="D32" s="59">
        <f t="shared" si="13"/>
        <v>25625</v>
      </c>
      <c r="E32" s="59">
        <f t="shared" si="13"/>
        <v>25625</v>
      </c>
      <c r="F32" s="59">
        <f t="shared" si="13"/>
        <v>25625</v>
      </c>
      <c r="G32" s="59">
        <f t="shared" si="13"/>
        <v>25625</v>
      </c>
      <c r="H32" s="59">
        <f t="shared" si="13"/>
        <v>25625</v>
      </c>
      <c r="I32" s="59">
        <f t="shared" si="13"/>
        <v>25625</v>
      </c>
      <c r="J32" s="59">
        <f t="shared" si="13"/>
        <v>25625</v>
      </c>
      <c r="K32" s="59">
        <f t="shared" si="13"/>
        <v>25625</v>
      </c>
      <c r="L32" s="59">
        <f t="shared" si="13"/>
        <v>25625</v>
      </c>
      <c r="M32" s="59">
        <f t="shared" si="13"/>
        <v>25625</v>
      </c>
      <c r="N32" s="59">
        <f t="shared" si="13"/>
        <v>25625</v>
      </c>
      <c r="O32" s="60" t="s">
        <v>97</v>
      </c>
      <c r="P32" s="61">
        <f>SUM(C32:N32)</f>
        <v>307500</v>
      </c>
    </row>
    <row r="33" spans="2:31" x14ac:dyDescent="0.25">
      <c r="B33" s="34" t="s">
        <v>21</v>
      </c>
      <c r="C33" s="34">
        <f t="shared" ref="C33:N33" si="14">C31*0.4</f>
        <v>10250</v>
      </c>
      <c r="D33" s="34">
        <f t="shared" si="14"/>
        <v>10250</v>
      </c>
      <c r="E33" s="34">
        <f t="shared" si="14"/>
        <v>10250</v>
      </c>
      <c r="F33" s="34">
        <f t="shared" si="14"/>
        <v>10250</v>
      </c>
      <c r="G33" s="34">
        <f t="shared" si="14"/>
        <v>10250</v>
      </c>
      <c r="H33" s="34">
        <f t="shared" si="14"/>
        <v>10250</v>
      </c>
      <c r="I33" s="34">
        <f t="shared" si="14"/>
        <v>10250</v>
      </c>
      <c r="J33" s="34">
        <f t="shared" si="14"/>
        <v>10250</v>
      </c>
      <c r="K33" s="34">
        <f t="shared" si="14"/>
        <v>10250</v>
      </c>
      <c r="L33" s="34">
        <f t="shared" si="14"/>
        <v>10250</v>
      </c>
      <c r="M33" s="34">
        <f t="shared" si="14"/>
        <v>10250</v>
      </c>
      <c r="N33" s="34">
        <f t="shared" si="14"/>
        <v>10250</v>
      </c>
      <c r="O33" s="60" t="s">
        <v>98</v>
      </c>
      <c r="P33" s="61">
        <f>SUM(C33:N33)</f>
        <v>123000</v>
      </c>
    </row>
    <row r="34" spans="2:31" x14ac:dyDescent="0.25">
      <c r="B34" s="59" t="s">
        <v>99</v>
      </c>
      <c r="C34" s="59">
        <v>16000</v>
      </c>
      <c r="D34" s="59">
        <f t="shared" ref="D34:N34" si="15">C33</f>
        <v>10250</v>
      </c>
      <c r="E34" s="59">
        <f t="shared" si="15"/>
        <v>10250</v>
      </c>
      <c r="F34" s="59">
        <f t="shared" si="15"/>
        <v>10250</v>
      </c>
      <c r="G34" s="59">
        <f t="shared" si="15"/>
        <v>10250</v>
      </c>
      <c r="H34" s="59">
        <f t="shared" si="15"/>
        <v>10250</v>
      </c>
      <c r="I34" s="59">
        <f t="shared" si="15"/>
        <v>10250</v>
      </c>
      <c r="J34" s="59">
        <f t="shared" si="15"/>
        <v>10250</v>
      </c>
      <c r="K34" s="59">
        <f t="shared" si="15"/>
        <v>10250</v>
      </c>
      <c r="L34" s="59">
        <f t="shared" si="15"/>
        <v>10250</v>
      </c>
      <c r="M34" s="59">
        <f t="shared" si="15"/>
        <v>10250</v>
      </c>
      <c r="N34" s="59">
        <f t="shared" si="15"/>
        <v>10250</v>
      </c>
      <c r="O34" s="60" t="s">
        <v>100</v>
      </c>
      <c r="P34" s="61">
        <f>N33</f>
        <v>10250</v>
      </c>
    </row>
    <row r="37" spans="2:31" x14ac:dyDescent="0.25">
      <c r="B37" s="288" t="s">
        <v>101</v>
      </c>
      <c r="C37" s="288"/>
      <c r="D37" s="288"/>
      <c r="E37" s="288"/>
      <c r="F37" s="288"/>
      <c r="G37" s="288"/>
      <c r="H37" s="288"/>
      <c r="I37" s="288"/>
      <c r="J37" s="288"/>
      <c r="K37" s="288"/>
      <c r="L37" s="288"/>
      <c r="M37" s="288"/>
      <c r="N37" s="288"/>
      <c r="O37" s="288"/>
      <c r="P37" s="288"/>
    </row>
    <row r="38" spans="2:31" x14ac:dyDescent="0.25">
      <c r="B38" s="213"/>
      <c r="C38" s="215" t="s">
        <v>50</v>
      </c>
      <c r="D38" s="215" t="s">
        <v>51</v>
      </c>
      <c r="E38" s="215" t="s">
        <v>52</v>
      </c>
      <c r="F38" s="215" t="s">
        <v>53</v>
      </c>
      <c r="G38" s="215" t="s">
        <v>54</v>
      </c>
      <c r="H38" s="215" t="s">
        <v>55</v>
      </c>
      <c r="I38" s="215" t="s">
        <v>56</v>
      </c>
      <c r="J38" s="215" t="s">
        <v>57</v>
      </c>
      <c r="K38" s="215" t="s">
        <v>58</v>
      </c>
      <c r="L38" s="215" t="s">
        <v>59</v>
      </c>
      <c r="M38" s="215" t="s">
        <v>60</v>
      </c>
      <c r="N38" s="215" t="s">
        <v>61</v>
      </c>
      <c r="O38" s="220" t="s">
        <v>62</v>
      </c>
      <c r="P38" s="221"/>
    </row>
    <row r="39" spans="2:31" x14ac:dyDescent="0.25">
      <c r="B39" s="214"/>
      <c r="C39" s="216"/>
      <c r="D39" s="216"/>
      <c r="E39" s="216"/>
      <c r="F39" s="216"/>
      <c r="G39" s="216"/>
      <c r="H39" s="216"/>
      <c r="I39" s="216"/>
      <c r="J39" s="216"/>
      <c r="K39" s="216"/>
      <c r="L39" s="216"/>
      <c r="M39" s="216"/>
      <c r="N39" s="216"/>
      <c r="O39" s="58" t="s">
        <v>64</v>
      </c>
      <c r="P39" s="58" t="s">
        <v>65</v>
      </c>
    </row>
    <row r="40" spans="2:31" x14ac:dyDescent="0.25">
      <c r="B40" s="46" t="s">
        <v>102</v>
      </c>
      <c r="C40" s="34"/>
      <c r="D40" s="34"/>
      <c r="E40" s="34"/>
      <c r="F40" s="34"/>
      <c r="G40" s="34"/>
      <c r="H40" s="34"/>
      <c r="I40" s="34"/>
      <c r="J40" s="34"/>
      <c r="K40" s="34"/>
      <c r="L40" s="34">
        <v>8200</v>
      </c>
      <c r="M40" s="34"/>
      <c r="N40" s="34"/>
      <c r="O40" s="60" t="s">
        <v>103</v>
      </c>
      <c r="P40" s="61">
        <f>SUM(C40:N40)</f>
        <v>8200</v>
      </c>
    </row>
    <row r="41" spans="2:31" x14ac:dyDescent="0.25">
      <c r="B41" s="119" t="s">
        <v>105</v>
      </c>
      <c r="C41" s="119"/>
      <c r="D41" s="119"/>
      <c r="E41" s="119"/>
      <c r="F41" s="119"/>
      <c r="G41" s="119"/>
      <c r="H41" s="119"/>
      <c r="I41" s="119"/>
      <c r="J41" s="119"/>
      <c r="K41" s="119"/>
      <c r="L41" s="119">
        <v>8200</v>
      </c>
      <c r="M41" s="119"/>
      <c r="N41" s="119"/>
      <c r="O41" s="34"/>
      <c r="P41" s="34"/>
    </row>
    <row r="42" spans="2:31" x14ac:dyDescent="0.25">
      <c r="B42" s="34" t="s">
        <v>106</v>
      </c>
      <c r="C42" s="34">
        <f t="shared" ref="C42:N42" si="16">$P$42/12</f>
        <v>350</v>
      </c>
      <c r="D42" s="34">
        <f t="shared" si="16"/>
        <v>350</v>
      </c>
      <c r="E42" s="34">
        <f t="shared" si="16"/>
        <v>350</v>
      </c>
      <c r="F42" s="34">
        <f t="shared" si="16"/>
        <v>350</v>
      </c>
      <c r="G42" s="34">
        <f t="shared" si="16"/>
        <v>350</v>
      </c>
      <c r="H42" s="34">
        <f t="shared" si="16"/>
        <v>350</v>
      </c>
      <c r="I42" s="34">
        <f t="shared" si="16"/>
        <v>350</v>
      </c>
      <c r="J42" s="34">
        <f t="shared" si="16"/>
        <v>350</v>
      </c>
      <c r="K42" s="34">
        <f t="shared" si="16"/>
        <v>350</v>
      </c>
      <c r="L42" s="34">
        <f t="shared" si="16"/>
        <v>350</v>
      </c>
      <c r="M42" s="34">
        <f t="shared" si="16"/>
        <v>350</v>
      </c>
      <c r="N42" s="34">
        <f t="shared" si="16"/>
        <v>350</v>
      </c>
      <c r="O42" s="60" t="s">
        <v>107</v>
      </c>
      <c r="P42" s="61">
        <f>Informations!D13</f>
        <v>4200</v>
      </c>
    </row>
    <row r="43" spans="2:31" x14ac:dyDescent="0.25">
      <c r="B43" s="34" t="s">
        <v>108</v>
      </c>
      <c r="C43" s="34">
        <f>Informations!$E13/12</f>
        <v>3333.3333333333335</v>
      </c>
      <c r="D43" s="34">
        <f>Informations!$E13/12</f>
        <v>3333.3333333333335</v>
      </c>
      <c r="E43" s="34">
        <f>Informations!$E13/12</f>
        <v>3333.3333333333335</v>
      </c>
      <c r="F43" s="34">
        <f>Informations!$E13/12</f>
        <v>3333.3333333333335</v>
      </c>
      <c r="G43" s="34">
        <f>Informations!$E13/12</f>
        <v>3333.3333333333335</v>
      </c>
      <c r="H43" s="34">
        <f>Informations!$E13/12</f>
        <v>3333.3333333333335</v>
      </c>
      <c r="I43" s="34">
        <f>Informations!$E13/12</f>
        <v>3333.3333333333335</v>
      </c>
      <c r="J43" s="34">
        <f>Informations!$E13/12</f>
        <v>3333.3333333333335</v>
      </c>
      <c r="K43" s="34">
        <f>Informations!$E13/12</f>
        <v>3333.3333333333335</v>
      </c>
      <c r="L43" s="34">
        <f>Informations!$E13/12</f>
        <v>3333.3333333333335</v>
      </c>
      <c r="M43" s="34">
        <f>Informations!$E13/12</f>
        <v>3333.3333333333335</v>
      </c>
      <c r="N43" s="34">
        <f>Informations!$E13/12</f>
        <v>3333.3333333333335</v>
      </c>
      <c r="O43" s="60" t="s">
        <v>109</v>
      </c>
      <c r="P43" s="61">
        <f>Informations!E13</f>
        <v>40000</v>
      </c>
    </row>
    <row r="44" spans="2:31" x14ac:dyDescent="0.25">
      <c r="B44" s="34" t="s">
        <v>217</v>
      </c>
      <c r="C44" s="34">
        <f>Informations!$I31</f>
        <v>0</v>
      </c>
      <c r="D44" s="34">
        <f>Informations!$I31</f>
        <v>0</v>
      </c>
      <c r="E44" s="34">
        <f>Informations!$I31</f>
        <v>0</v>
      </c>
      <c r="F44" s="34">
        <f>Informations!$I31</f>
        <v>0</v>
      </c>
      <c r="G44" s="34">
        <f>Informations!$I31</f>
        <v>0</v>
      </c>
      <c r="H44" s="34">
        <f>Informations!$I31</f>
        <v>0</v>
      </c>
      <c r="I44" s="34">
        <f>Informations!$I31</f>
        <v>0</v>
      </c>
      <c r="J44" s="34">
        <f>Informations!$I31</f>
        <v>0</v>
      </c>
      <c r="K44" s="34">
        <f>Informations!$I31</f>
        <v>0</v>
      </c>
      <c r="L44" s="34">
        <f>Informations!$I31</f>
        <v>0</v>
      </c>
      <c r="M44" s="34">
        <f>Informations!$I31</f>
        <v>0</v>
      </c>
      <c r="N44" s="34">
        <f>Informations!$I31</f>
        <v>0</v>
      </c>
      <c r="O44" s="60" t="s">
        <v>226</v>
      </c>
      <c r="P44" s="61">
        <f>SUM(C44:N44)</f>
        <v>0</v>
      </c>
    </row>
    <row r="45" spans="2:31" x14ac:dyDescent="0.25">
      <c r="B45" s="59" t="s">
        <v>71</v>
      </c>
      <c r="C45" s="59">
        <f t="shared" ref="C45:N45" si="17">C42+C43+C44</f>
        <v>3683.3333333333335</v>
      </c>
      <c r="D45" s="59">
        <f t="shared" si="17"/>
        <v>3683.3333333333335</v>
      </c>
      <c r="E45" s="59">
        <f t="shared" si="17"/>
        <v>3683.3333333333335</v>
      </c>
      <c r="F45" s="59">
        <f t="shared" si="17"/>
        <v>3683.3333333333335</v>
      </c>
      <c r="G45" s="59">
        <f t="shared" si="17"/>
        <v>3683.3333333333335</v>
      </c>
      <c r="H45" s="59">
        <f t="shared" si="17"/>
        <v>3683.3333333333335</v>
      </c>
      <c r="I45" s="59">
        <f t="shared" si="17"/>
        <v>3683.3333333333335</v>
      </c>
      <c r="J45" s="59">
        <f t="shared" si="17"/>
        <v>3683.3333333333335</v>
      </c>
      <c r="K45" s="59">
        <f t="shared" si="17"/>
        <v>3683.3333333333335</v>
      </c>
      <c r="L45" s="59">
        <f t="shared" si="17"/>
        <v>3683.3333333333335</v>
      </c>
      <c r="M45" s="59">
        <f t="shared" si="17"/>
        <v>3683.3333333333335</v>
      </c>
      <c r="N45" s="59">
        <f t="shared" si="17"/>
        <v>3683.3333333333335</v>
      </c>
      <c r="O45" s="113"/>
      <c r="P45" s="113"/>
    </row>
    <row r="48" spans="2:31" x14ac:dyDescent="0.25">
      <c r="B48" s="288" t="s">
        <v>110</v>
      </c>
      <c r="C48" s="288"/>
      <c r="D48" s="288"/>
      <c r="E48" s="288"/>
      <c r="F48" s="288"/>
      <c r="G48" s="288"/>
      <c r="H48" s="288"/>
      <c r="I48" s="288"/>
      <c r="J48" s="288"/>
      <c r="K48" s="288"/>
      <c r="L48" s="288"/>
      <c r="M48" s="288"/>
      <c r="N48" s="288"/>
      <c r="O48" s="288"/>
      <c r="P48" s="288"/>
      <c r="S48" s="283" t="s">
        <v>203</v>
      </c>
      <c r="T48" s="283" t="s">
        <v>50</v>
      </c>
      <c r="U48" s="283" t="s">
        <v>51</v>
      </c>
      <c r="V48" s="283" t="s">
        <v>52</v>
      </c>
      <c r="W48" s="283" t="s">
        <v>53</v>
      </c>
      <c r="X48" s="283" t="s">
        <v>54</v>
      </c>
      <c r="Y48" s="283" t="s">
        <v>55</v>
      </c>
      <c r="Z48" s="283" t="s">
        <v>56</v>
      </c>
      <c r="AA48" s="283" t="s">
        <v>57</v>
      </c>
      <c r="AB48" s="283" t="s">
        <v>58</v>
      </c>
      <c r="AC48" s="283" t="s">
        <v>59</v>
      </c>
      <c r="AD48" s="283" t="s">
        <v>60</v>
      </c>
      <c r="AE48" s="283" t="s">
        <v>61</v>
      </c>
    </row>
    <row r="49" spans="2:31" x14ac:dyDescent="0.25">
      <c r="B49" s="213"/>
      <c r="C49" s="215" t="s">
        <v>50</v>
      </c>
      <c r="D49" s="215" t="s">
        <v>51</v>
      </c>
      <c r="E49" s="215" t="s">
        <v>52</v>
      </c>
      <c r="F49" s="215" t="s">
        <v>53</v>
      </c>
      <c r="G49" s="215" t="s">
        <v>54</v>
      </c>
      <c r="H49" s="215" t="s">
        <v>55</v>
      </c>
      <c r="I49" s="215" t="s">
        <v>56</v>
      </c>
      <c r="J49" s="215" t="s">
        <v>57</v>
      </c>
      <c r="K49" s="215" t="s">
        <v>58</v>
      </c>
      <c r="L49" s="215" t="s">
        <v>59</v>
      </c>
      <c r="M49" s="215" t="s">
        <v>60</v>
      </c>
      <c r="N49" s="215" t="s">
        <v>61</v>
      </c>
      <c r="O49" s="220" t="s">
        <v>62</v>
      </c>
      <c r="P49" s="221"/>
      <c r="S49" s="283"/>
      <c r="T49" s="283"/>
      <c r="U49" s="283"/>
      <c r="V49" s="283"/>
      <c r="W49" s="283"/>
      <c r="X49" s="283"/>
      <c r="Y49" s="283"/>
      <c r="Z49" s="283"/>
      <c r="AA49" s="283"/>
      <c r="AB49" s="283"/>
      <c r="AC49" s="283"/>
      <c r="AD49" s="283"/>
      <c r="AE49" s="283"/>
    </row>
    <row r="50" spans="2:31" x14ac:dyDescent="0.25">
      <c r="B50" s="214"/>
      <c r="C50" s="216"/>
      <c r="D50" s="216"/>
      <c r="E50" s="216"/>
      <c r="F50" s="216"/>
      <c r="G50" s="216"/>
      <c r="H50" s="216"/>
      <c r="I50" s="216"/>
      <c r="J50" s="216"/>
      <c r="K50" s="216"/>
      <c r="L50" s="216"/>
      <c r="M50" s="216"/>
      <c r="N50" s="216"/>
      <c r="O50" s="58" t="s">
        <v>64</v>
      </c>
      <c r="P50" s="58" t="s">
        <v>65</v>
      </c>
      <c r="S50" s="59" t="s">
        <v>204</v>
      </c>
      <c r="T50" s="59">
        <f t="shared" ref="T50:AE50" si="18">C74</f>
        <v>81151.199999999997</v>
      </c>
      <c r="U50" s="59">
        <f t="shared" si="18"/>
        <v>6302.4</v>
      </c>
      <c r="V50" s="59">
        <f t="shared" si="18"/>
        <v>36302.400000000001</v>
      </c>
      <c r="W50" s="59">
        <f t="shared" si="18"/>
        <v>6302.4</v>
      </c>
      <c r="X50" s="59">
        <f t="shared" si="18"/>
        <v>6302.4</v>
      </c>
      <c r="Y50" s="59">
        <f t="shared" si="18"/>
        <v>7802.4</v>
      </c>
      <c r="Z50" s="59">
        <f t="shared" si="18"/>
        <v>6302.4</v>
      </c>
      <c r="AA50" s="59">
        <f t="shared" si="18"/>
        <v>6302.4</v>
      </c>
      <c r="AB50" s="59">
        <f t="shared" si="18"/>
        <v>6302.4</v>
      </c>
      <c r="AC50" s="59">
        <f t="shared" si="18"/>
        <v>6302.4</v>
      </c>
      <c r="AD50" s="59">
        <f t="shared" si="18"/>
        <v>6302.4</v>
      </c>
      <c r="AE50" s="59">
        <f t="shared" si="18"/>
        <v>6302.4</v>
      </c>
    </row>
    <row r="51" spans="2:31" x14ac:dyDescent="0.25">
      <c r="B51" s="34" t="s">
        <v>111</v>
      </c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60" t="s">
        <v>112</v>
      </c>
      <c r="P51" s="61">
        <f>SUM(C51:N51)</f>
        <v>0</v>
      </c>
      <c r="S51" s="34" t="s">
        <v>205</v>
      </c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</row>
    <row r="52" spans="2:31" x14ac:dyDescent="0.25">
      <c r="B52" s="34" t="s">
        <v>113</v>
      </c>
      <c r="C52" s="34">
        <f>C51*20%</f>
        <v>0</v>
      </c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S52" s="34" t="s">
        <v>206</v>
      </c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</row>
    <row r="53" spans="2:31" x14ac:dyDescent="0.25">
      <c r="B53" s="34" t="s">
        <v>114</v>
      </c>
      <c r="C53" s="34">
        <f>C51+C52</f>
        <v>0</v>
      </c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S53" s="34" t="s">
        <v>207</v>
      </c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</row>
    <row r="54" spans="2:31" x14ac:dyDescent="0.25">
      <c r="B54" s="59" t="s">
        <v>81</v>
      </c>
      <c r="C54" s="59">
        <f>C53</f>
        <v>0</v>
      </c>
      <c r="D54" s="59"/>
      <c r="E54" s="59"/>
      <c r="F54" s="59"/>
      <c r="G54" s="59"/>
      <c r="H54" s="59"/>
      <c r="I54" s="59"/>
      <c r="J54" s="59"/>
      <c r="K54" s="59"/>
      <c r="L54" s="59"/>
      <c r="M54" s="59"/>
      <c r="N54" s="59"/>
      <c r="O54" s="60" t="s">
        <v>220</v>
      </c>
      <c r="P54" s="61">
        <v>0</v>
      </c>
      <c r="S54" s="59" t="s">
        <v>210</v>
      </c>
      <c r="T54" s="59">
        <f>T50+T53</f>
        <v>81151.199999999997</v>
      </c>
      <c r="U54" s="59">
        <f t="shared" ref="U54:AE54" si="19">SUM(U50:U53)</f>
        <v>6302.4</v>
      </c>
      <c r="V54" s="59">
        <f t="shared" si="19"/>
        <v>36302.400000000001</v>
      </c>
      <c r="W54" s="59">
        <f t="shared" si="19"/>
        <v>6302.4</v>
      </c>
      <c r="X54" s="59">
        <f t="shared" si="19"/>
        <v>6302.4</v>
      </c>
      <c r="Y54" s="59">
        <f t="shared" si="19"/>
        <v>7802.4</v>
      </c>
      <c r="Z54" s="59">
        <f t="shared" si="19"/>
        <v>6302.4</v>
      </c>
      <c r="AA54" s="59">
        <f t="shared" si="19"/>
        <v>6302.4</v>
      </c>
      <c r="AB54" s="59">
        <f t="shared" si="19"/>
        <v>6302.4</v>
      </c>
      <c r="AC54" s="59">
        <f t="shared" si="19"/>
        <v>6302.4</v>
      </c>
      <c r="AD54" s="59">
        <f t="shared" si="19"/>
        <v>6302.4</v>
      </c>
      <c r="AE54" s="59">
        <f t="shared" si="19"/>
        <v>6302.4</v>
      </c>
    </row>
    <row r="55" spans="2:31" x14ac:dyDescent="0.25">
      <c r="C55" s="20" t="s">
        <v>149</v>
      </c>
      <c r="S55" s="34" t="s">
        <v>211</v>
      </c>
      <c r="T55" s="34">
        <f t="shared" ref="T55:AE55" si="20">C84</f>
        <v>94902.08904761904</v>
      </c>
      <c r="U55" s="34">
        <f t="shared" si="20"/>
        <v>49967.369047619046</v>
      </c>
      <c r="V55" s="34">
        <f t="shared" si="20"/>
        <v>49967.369047619046</v>
      </c>
      <c r="W55" s="34">
        <f t="shared" si="20"/>
        <v>49967.369047619046</v>
      </c>
      <c r="X55" s="34">
        <f t="shared" si="20"/>
        <v>49967.369047619046</v>
      </c>
      <c r="Y55" s="34">
        <f t="shared" si="20"/>
        <v>49967.369047619046</v>
      </c>
      <c r="Z55" s="34">
        <f t="shared" si="20"/>
        <v>49967.369047619046</v>
      </c>
      <c r="AA55" s="34">
        <f t="shared" si="20"/>
        <v>49967.369047619046</v>
      </c>
      <c r="AB55" s="34">
        <f t="shared" si="20"/>
        <v>49967.369047619046</v>
      </c>
      <c r="AC55" s="34">
        <f t="shared" si="20"/>
        <v>58167.369047619046</v>
      </c>
      <c r="AD55" s="34">
        <f t="shared" si="20"/>
        <v>49967.369047619046</v>
      </c>
      <c r="AE55" s="34">
        <f t="shared" si="20"/>
        <v>49967.369047619046</v>
      </c>
    </row>
    <row r="56" spans="2:31" x14ac:dyDescent="0.25">
      <c r="S56" s="34" t="s">
        <v>212</v>
      </c>
      <c r="T56" s="34"/>
      <c r="U56" s="34">
        <f t="shared" ref="U56:AE56" si="21">T53*0.07</f>
        <v>0</v>
      </c>
      <c r="V56" s="34">
        <f t="shared" si="21"/>
        <v>0</v>
      </c>
      <c r="W56" s="34">
        <f t="shared" si="21"/>
        <v>0</v>
      </c>
      <c r="X56" s="34">
        <f t="shared" si="21"/>
        <v>0</v>
      </c>
      <c r="Y56" s="34">
        <f t="shared" si="21"/>
        <v>0</v>
      </c>
      <c r="Z56" s="34">
        <f t="shared" si="21"/>
        <v>0</v>
      </c>
      <c r="AA56" s="34">
        <f t="shared" si="21"/>
        <v>0</v>
      </c>
      <c r="AB56" s="34">
        <f t="shared" si="21"/>
        <v>0</v>
      </c>
      <c r="AC56" s="34">
        <f t="shared" si="21"/>
        <v>0</v>
      </c>
      <c r="AD56" s="34">
        <f t="shared" si="21"/>
        <v>0</v>
      </c>
      <c r="AE56" s="34">
        <f t="shared" si="21"/>
        <v>0</v>
      </c>
    </row>
    <row r="57" spans="2:31" x14ac:dyDescent="0.25">
      <c r="B57" s="288" t="s">
        <v>116</v>
      </c>
      <c r="C57" s="288"/>
      <c r="D57" s="288"/>
      <c r="E57" s="288"/>
      <c r="F57" s="288"/>
      <c r="G57" s="288"/>
      <c r="H57" s="288"/>
      <c r="I57" s="288"/>
      <c r="J57" s="288"/>
      <c r="K57" s="288"/>
      <c r="L57" s="288"/>
      <c r="M57" s="288"/>
      <c r="N57" s="288"/>
      <c r="O57" s="288"/>
      <c r="P57" s="288"/>
      <c r="S57" s="59" t="s">
        <v>213</v>
      </c>
      <c r="T57" s="59">
        <f t="shared" ref="T57:AE57" si="22">T55+T56</f>
        <v>94902.08904761904</v>
      </c>
      <c r="U57" s="59">
        <f t="shared" si="22"/>
        <v>49967.369047619046</v>
      </c>
      <c r="V57" s="59">
        <f t="shared" si="22"/>
        <v>49967.369047619046</v>
      </c>
      <c r="W57" s="59">
        <f t="shared" si="22"/>
        <v>49967.369047619046</v>
      </c>
      <c r="X57" s="59">
        <f t="shared" si="22"/>
        <v>49967.369047619046</v>
      </c>
      <c r="Y57" s="59">
        <f t="shared" si="22"/>
        <v>49967.369047619046</v>
      </c>
      <c r="Z57" s="59">
        <f t="shared" si="22"/>
        <v>49967.369047619046</v>
      </c>
      <c r="AA57" s="59">
        <f t="shared" si="22"/>
        <v>49967.369047619046</v>
      </c>
      <c r="AB57" s="59">
        <f t="shared" si="22"/>
        <v>49967.369047619046</v>
      </c>
      <c r="AC57" s="59">
        <f t="shared" si="22"/>
        <v>58167.369047619046</v>
      </c>
      <c r="AD57" s="59">
        <f t="shared" si="22"/>
        <v>49967.369047619046</v>
      </c>
      <c r="AE57" s="59">
        <f t="shared" si="22"/>
        <v>49967.369047619046</v>
      </c>
    </row>
    <row r="58" spans="2:31" x14ac:dyDescent="0.25">
      <c r="B58" s="213"/>
      <c r="C58" s="215" t="s">
        <v>50</v>
      </c>
      <c r="D58" s="215" t="s">
        <v>51</v>
      </c>
      <c r="E58" s="215" t="s">
        <v>52</v>
      </c>
      <c r="F58" s="215" t="s">
        <v>53</v>
      </c>
      <c r="G58" s="215" t="s">
        <v>54</v>
      </c>
      <c r="H58" s="215" t="s">
        <v>55</v>
      </c>
      <c r="I58" s="215" t="s">
        <v>56</v>
      </c>
      <c r="J58" s="215" t="s">
        <v>57</v>
      </c>
      <c r="K58" s="215" t="s">
        <v>58</v>
      </c>
      <c r="L58" s="215" t="s">
        <v>59</v>
      </c>
      <c r="M58" s="215" t="s">
        <v>60</v>
      </c>
      <c r="N58" s="215" t="s">
        <v>61</v>
      </c>
      <c r="O58" s="220" t="s">
        <v>62</v>
      </c>
      <c r="P58" s="221"/>
      <c r="S58" s="34" t="s">
        <v>132</v>
      </c>
      <c r="T58" s="34">
        <f>C85</f>
        <v>6350</v>
      </c>
      <c r="U58" s="34">
        <f t="shared" ref="U58:AE58" si="23">T60</f>
        <v>-7400.8890476190427</v>
      </c>
      <c r="V58" s="34">
        <f t="shared" si="23"/>
        <v>-51065.858095238087</v>
      </c>
      <c r="W58" s="34">
        <f t="shared" si="23"/>
        <v>-64730.827142857132</v>
      </c>
      <c r="X58" s="34">
        <f t="shared" si="23"/>
        <v>-108395.79619047618</v>
      </c>
      <c r="Y58" s="34">
        <f t="shared" si="23"/>
        <v>-152060.76523809522</v>
      </c>
      <c r="Z58" s="34">
        <f t="shared" si="23"/>
        <v>-194225.73428571428</v>
      </c>
      <c r="AA58" s="34">
        <f t="shared" si="23"/>
        <v>-237890.70333333331</v>
      </c>
      <c r="AB58" s="34">
        <f t="shared" si="23"/>
        <v>-281555.67238095234</v>
      </c>
      <c r="AC58" s="34">
        <f t="shared" si="23"/>
        <v>-325220.64142857137</v>
      </c>
      <c r="AD58" s="34">
        <f t="shared" si="23"/>
        <v>-377085.6104761904</v>
      </c>
      <c r="AE58" s="34">
        <f t="shared" si="23"/>
        <v>-420750.57952380943</v>
      </c>
    </row>
    <row r="59" spans="2:31" x14ac:dyDescent="0.25">
      <c r="B59" s="214"/>
      <c r="C59" s="216"/>
      <c r="D59" s="216"/>
      <c r="E59" s="216"/>
      <c r="F59" s="216"/>
      <c r="G59" s="216"/>
      <c r="H59" s="216"/>
      <c r="I59" s="216"/>
      <c r="J59" s="216"/>
      <c r="K59" s="216"/>
      <c r="L59" s="216"/>
      <c r="M59" s="216"/>
      <c r="N59" s="216"/>
      <c r="O59" s="58" t="s">
        <v>64</v>
      </c>
      <c r="P59" s="58" t="s">
        <v>65</v>
      </c>
      <c r="S59" s="34" t="s">
        <v>133</v>
      </c>
      <c r="T59" s="34">
        <f t="shared" ref="T59:AE59" si="24">T54-T57</f>
        <v>-13750.889047619043</v>
      </c>
      <c r="U59" s="34">
        <f t="shared" si="24"/>
        <v>-43664.969047619044</v>
      </c>
      <c r="V59" s="34">
        <f t="shared" si="24"/>
        <v>-13664.969047619044</v>
      </c>
      <c r="W59" s="34">
        <f t="shared" si="24"/>
        <v>-43664.969047619044</v>
      </c>
      <c r="X59" s="34">
        <f t="shared" si="24"/>
        <v>-43664.969047619044</v>
      </c>
      <c r="Y59" s="34">
        <f t="shared" si="24"/>
        <v>-42164.969047619044</v>
      </c>
      <c r="Z59" s="34">
        <f t="shared" si="24"/>
        <v>-43664.969047619044</v>
      </c>
      <c r="AA59" s="34">
        <f t="shared" si="24"/>
        <v>-43664.969047619044</v>
      </c>
      <c r="AB59" s="34">
        <f t="shared" si="24"/>
        <v>-43664.969047619044</v>
      </c>
      <c r="AC59" s="34">
        <f t="shared" si="24"/>
        <v>-51864.969047619044</v>
      </c>
      <c r="AD59" s="34">
        <f t="shared" si="24"/>
        <v>-43664.969047619044</v>
      </c>
      <c r="AE59" s="34">
        <f t="shared" si="24"/>
        <v>-43664.969047619044</v>
      </c>
    </row>
    <row r="60" spans="2:31" x14ac:dyDescent="0.25">
      <c r="B60" s="59" t="s">
        <v>68</v>
      </c>
      <c r="C60" s="59">
        <f t="shared" ref="C60:N60" si="25">C6</f>
        <v>1050.4000000000001</v>
      </c>
      <c r="D60" s="59">
        <f t="shared" si="25"/>
        <v>1050.4000000000001</v>
      </c>
      <c r="E60" s="59">
        <f t="shared" si="25"/>
        <v>1050.4000000000001</v>
      </c>
      <c r="F60" s="59">
        <f t="shared" si="25"/>
        <v>1050.4000000000001</v>
      </c>
      <c r="G60" s="59">
        <f t="shared" si="25"/>
        <v>1050.4000000000001</v>
      </c>
      <c r="H60" s="59">
        <f t="shared" si="25"/>
        <v>1050.4000000000001</v>
      </c>
      <c r="I60" s="59">
        <f t="shared" si="25"/>
        <v>1050.4000000000001</v>
      </c>
      <c r="J60" s="59">
        <f t="shared" si="25"/>
        <v>1050.4000000000001</v>
      </c>
      <c r="K60" s="59">
        <f t="shared" si="25"/>
        <v>1050.4000000000001</v>
      </c>
      <c r="L60" s="59">
        <f t="shared" si="25"/>
        <v>1050.4000000000001</v>
      </c>
      <c r="M60" s="59">
        <f t="shared" si="25"/>
        <v>1050.4000000000001</v>
      </c>
      <c r="N60" s="59">
        <f t="shared" si="25"/>
        <v>1050.4000000000001</v>
      </c>
      <c r="O60" s="34"/>
      <c r="P60" s="34"/>
      <c r="S60" s="34" t="s">
        <v>214</v>
      </c>
      <c r="T60" s="34">
        <f t="shared" ref="T60:AE60" si="26">T58+T59</f>
        <v>-7400.8890476190427</v>
      </c>
      <c r="U60" s="34">
        <f t="shared" si="26"/>
        <v>-51065.858095238087</v>
      </c>
      <c r="V60" s="34">
        <f t="shared" si="26"/>
        <v>-64730.827142857132</v>
      </c>
      <c r="W60" s="34">
        <f t="shared" si="26"/>
        <v>-108395.79619047618</v>
      </c>
      <c r="X60" s="34">
        <f t="shared" si="26"/>
        <v>-152060.76523809522</v>
      </c>
      <c r="Y60" s="34">
        <f t="shared" si="26"/>
        <v>-194225.73428571428</v>
      </c>
      <c r="Z60" s="34">
        <f t="shared" si="26"/>
        <v>-237890.70333333331</v>
      </c>
      <c r="AA60" s="34">
        <f t="shared" si="26"/>
        <v>-281555.67238095234</v>
      </c>
      <c r="AB60" s="34">
        <f t="shared" si="26"/>
        <v>-325220.64142857137</v>
      </c>
      <c r="AC60" s="34">
        <f t="shared" si="26"/>
        <v>-377085.6104761904</v>
      </c>
      <c r="AD60" s="34">
        <f t="shared" si="26"/>
        <v>-420750.57952380943</v>
      </c>
      <c r="AE60" s="34">
        <f t="shared" si="26"/>
        <v>-464415.54857142846</v>
      </c>
    </row>
    <row r="61" spans="2:31" x14ac:dyDescent="0.25">
      <c r="B61" s="34" t="s">
        <v>79</v>
      </c>
      <c r="C61" s="34">
        <f t="shared" ref="C61:N61" si="27">C15</f>
        <v>315.12</v>
      </c>
      <c r="D61" s="34">
        <f t="shared" si="27"/>
        <v>315.12</v>
      </c>
      <c r="E61" s="34">
        <f t="shared" si="27"/>
        <v>315.12</v>
      </c>
      <c r="F61" s="34">
        <f t="shared" si="27"/>
        <v>315.12</v>
      </c>
      <c r="G61" s="34">
        <f t="shared" si="27"/>
        <v>315.12</v>
      </c>
      <c r="H61" s="34">
        <f t="shared" si="27"/>
        <v>315.12</v>
      </c>
      <c r="I61" s="34">
        <f t="shared" si="27"/>
        <v>315.12</v>
      </c>
      <c r="J61" s="34">
        <f t="shared" si="27"/>
        <v>315.12</v>
      </c>
      <c r="K61" s="34">
        <f t="shared" si="27"/>
        <v>315.12</v>
      </c>
      <c r="L61" s="34">
        <f t="shared" si="27"/>
        <v>315.12</v>
      </c>
      <c r="M61" s="34">
        <f t="shared" si="27"/>
        <v>315.12</v>
      </c>
      <c r="N61" s="34">
        <f t="shared" si="27"/>
        <v>315.12</v>
      </c>
      <c r="O61" s="34"/>
      <c r="P61" s="34"/>
    </row>
    <row r="62" spans="2:31" x14ac:dyDescent="0.25">
      <c r="B62" s="34" t="s">
        <v>86</v>
      </c>
      <c r="C62" s="34">
        <f t="shared" ref="C62:N62" si="28">C24+C26</f>
        <v>1420</v>
      </c>
      <c r="D62" s="34">
        <f t="shared" si="28"/>
        <v>1420</v>
      </c>
      <c r="E62" s="34">
        <f t="shared" si="28"/>
        <v>1420</v>
      </c>
      <c r="F62" s="34">
        <f t="shared" si="28"/>
        <v>1420</v>
      </c>
      <c r="G62" s="34">
        <f t="shared" si="28"/>
        <v>1420</v>
      </c>
      <c r="H62" s="34">
        <f t="shared" si="28"/>
        <v>1420</v>
      </c>
      <c r="I62" s="34">
        <f t="shared" si="28"/>
        <v>1420</v>
      </c>
      <c r="J62" s="34">
        <f t="shared" si="28"/>
        <v>1420</v>
      </c>
      <c r="K62" s="34">
        <f t="shared" si="28"/>
        <v>1420</v>
      </c>
      <c r="L62" s="34">
        <f t="shared" si="28"/>
        <v>1420</v>
      </c>
      <c r="M62" s="34">
        <f t="shared" si="28"/>
        <v>1420</v>
      </c>
      <c r="N62" s="34">
        <f t="shared" si="28"/>
        <v>1420</v>
      </c>
      <c r="O62" s="34"/>
      <c r="P62" s="34"/>
    </row>
    <row r="63" spans="2:31" x14ac:dyDescent="0.25">
      <c r="B63" s="170" t="s">
        <v>113</v>
      </c>
      <c r="C63" s="170">
        <f t="shared" ref="C63:N63" si="29">C52</f>
        <v>0</v>
      </c>
      <c r="D63" s="170">
        <f t="shared" si="29"/>
        <v>0</v>
      </c>
      <c r="E63" s="170">
        <f t="shared" si="29"/>
        <v>0</v>
      </c>
      <c r="F63" s="170">
        <f t="shared" si="29"/>
        <v>0</v>
      </c>
      <c r="G63" s="170">
        <f t="shared" si="29"/>
        <v>0</v>
      </c>
      <c r="H63" s="170">
        <f t="shared" si="29"/>
        <v>0</v>
      </c>
      <c r="I63" s="170">
        <f t="shared" si="29"/>
        <v>0</v>
      </c>
      <c r="J63" s="170">
        <f t="shared" si="29"/>
        <v>0</v>
      </c>
      <c r="K63" s="170">
        <f t="shared" si="29"/>
        <v>0</v>
      </c>
      <c r="L63" s="170">
        <f t="shared" si="29"/>
        <v>0</v>
      </c>
      <c r="M63" s="170">
        <f t="shared" si="29"/>
        <v>0</v>
      </c>
      <c r="N63" s="170">
        <f t="shared" si="29"/>
        <v>0</v>
      </c>
      <c r="O63" s="34"/>
      <c r="P63" s="34"/>
    </row>
    <row r="64" spans="2:31" x14ac:dyDescent="0.25">
      <c r="B64" s="167" t="s">
        <v>117</v>
      </c>
      <c r="C64" s="168">
        <f t="shared" ref="C64:N64" si="30">C61+C62+C63</f>
        <v>1735.12</v>
      </c>
      <c r="D64" s="168">
        <f t="shared" si="30"/>
        <v>1735.12</v>
      </c>
      <c r="E64" s="168">
        <f t="shared" si="30"/>
        <v>1735.12</v>
      </c>
      <c r="F64" s="168">
        <f t="shared" si="30"/>
        <v>1735.12</v>
      </c>
      <c r="G64" s="168">
        <f t="shared" si="30"/>
        <v>1735.12</v>
      </c>
      <c r="H64" s="168">
        <f t="shared" si="30"/>
        <v>1735.12</v>
      </c>
      <c r="I64" s="168">
        <f t="shared" si="30"/>
        <v>1735.12</v>
      </c>
      <c r="J64" s="168">
        <f t="shared" si="30"/>
        <v>1735.12</v>
      </c>
      <c r="K64" s="168">
        <f t="shared" si="30"/>
        <v>1735.12</v>
      </c>
      <c r="L64" s="168">
        <f t="shared" si="30"/>
        <v>1735.12</v>
      </c>
      <c r="M64" s="168">
        <f t="shared" si="30"/>
        <v>1735.12</v>
      </c>
      <c r="N64" s="168">
        <f t="shared" si="30"/>
        <v>1735.12</v>
      </c>
      <c r="O64" s="169"/>
      <c r="P64" s="34"/>
    </row>
    <row r="65" spans="2:27" x14ac:dyDescent="0.25">
      <c r="B65" s="116" t="s">
        <v>118</v>
      </c>
      <c r="C65" s="117">
        <f t="shared" ref="C65:N65" si="31">C60-C64</f>
        <v>-684.7199999999998</v>
      </c>
      <c r="D65" s="117">
        <f t="shared" si="31"/>
        <v>-684.7199999999998</v>
      </c>
      <c r="E65" s="117">
        <f t="shared" si="31"/>
        <v>-684.7199999999998</v>
      </c>
      <c r="F65" s="117">
        <f t="shared" si="31"/>
        <v>-684.7199999999998</v>
      </c>
      <c r="G65" s="117">
        <f t="shared" si="31"/>
        <v>-684.7199999999998</v>
      </c>
      <c r="H65" s="117">
        <f t="shared" si="31"/>
        <v>-684.7199999999998</v>
      </c>
      <c r="I65" s="117">
        <f t="shared" si="31"/>
        <v>-684.7199999999998</v>
      </c>
      <c r="J65" s="117">
        <f t="shared" si="31"/>
        <v>-684.7199999999998</v>
      </c>
      <c r="K65" s="117">
        <f t="shared" si="31"/>
        <v>-684.7199999999998</v>
      </c>
      <c r="L65" s="117">
        <f t="shared" si="31"/>
        <v>-684.7199999999998</v>
      </c>
      <c r="M65" s="117">
        <f t="shared" si="31"/>
        <v>-684.7199999999998</v>
      </c>
      <c r="N65" s="117">
        <f t="shared" si="31"/>
        <v>-684.7199999999998</v>
      </c>
      <c r="O65" s="34"/>
      <c r="P65" s="34"/>
    </row>
    <row r="66" spans="2:27" x14ac:dyDescent="0.25">
      <c r="B66" s="59" t="s">
        <v>81</v>
      </c>
      <c r="C66" s="59">
        <v>15000</v>
      </c>
      <c r="D66" s="59">
        <f t="shared" ref="D66:N66" si="32">C65</f>
        <v>-684.7199999999998</v>
      </c>
      <c r="E66" s="59">
        <f t="shared" si="32"/>
        <v>-684.7199999999998</v>
      </c>
      <c r="F66" s="59">
        <f t="shared" si="32"/>
        <v>-684.7199999999998</v>
      </c>
      <c r="G66" s="59">
        <f t="shared" si="32"/>
        <v>-684.7199999999998</v>
      </c>
      <c r="H66" s="59">
        <f t="shared" si="32"/>
        <v>-684.7199999999998</v>
      </c>
      <c r="I66" s="59">
        <f t="shared" si="32"/>
        <v>-684.7199999999998</v>
      </c>
      <c r="J66" s="59">
        <f t="shared" si="32"/>
        <v>-684.7199999999998</v>
      </c>
      <c r="K66" s="59">
        <f t="shared" si="32"/>
        <v>-684.7199999999998</v>
      </c>
      <c r="L66" s="59">
        <f t="shared" si="32"/>
        <v>-684.7199999999998</v>
      </c>
      <c r="M66" s="59">
        <f t="shared" si="32"/>
        <v>-684.7199999999998</v>
      </c>
      <c r="N66" s="59">
        <f t="shared" si="32"/>
        <v>-684.7199999999998</v>
      </c>
      <c r="O66" s="60" t="s">
        <v>119</v>
      </c>
      <c r="P66" s="61">
        <f>N65</f>
        <v>-684.7199999999998</v>
      </c>
    </row>
    <row r="69" spans="2:27" ht="14.25" customHeight="1" x14ac:dyDescent="0.25">
      <c r="B69" s="288" t="s">
        <v>120</v>
      </c>
      <c r="C69" s="288"/>
      <c r="D69" s="288"/>
      <c r="E69" s="288"/>
      <c r="F69" s="288"/>
      <c r="G69" s="288"/>
      <c r="H69" s="288"/>
      <c r="I69" s="288"/>
      <c r="J69" s="288"/>
      <c r="K69" s="288"/>
      <c r="L69" s="288"/>
      <c r="M69" s="288"/>
      <c r="N69" s="288"/>
      <c r="O69" s="288"/>
      <c r="P69" s="288"/>
    </row>
    <row r="70" spans="2:27" ht="15" customHeight="1" x14ac:dyDescent="0.25">
      <c r="B70" s="213"/>
      <c r="C70" s="215" t="s">
        <v>50</v>
      </c>
      <c r="D70" s="215" t="s">
        <v>51</v>
      </c>
      <c r="E70" s="215" t="s">
        <v>52</v>
      </c>
      <c r="F70" s="215" t="s">
        <v>53</v>
      </c>
      <c r="G70" s="215" t="s">
        <v>54</v>
      </c>
      <c r="H70" s="215" t="s">
        <v>55</v>
      </c>
      <c r="I70" s="215" t="s">
        <v>56</v>
      </c>
      <c r="J70" s="215" t="s">
        <v>57</v>
      </c>
      <c r="K70" s="215" t="s">
        <v>58</v>
      </c>
      <c r="L70" s="215" t="s">
        <v>59</v>
      </c>
      <c r="M70" s="215" t="s">
        <v>60</v>
      </c>
      <c r="N70" s="215" t="s">
        <v>61</v>
      </c>
      <c r="O70" s="220" t="s">
        <v>62</v>
      </c>
      <c r="P70" s="221"/>
    </row>
    <row r="71" spans="2:27" x14ac:dyDescent="0.25">
      <c r="B71" s="214"/>
      <c r="C71" s="216"/>
      <c r="D71" s="216"/>
      <c r="E71" s="216"/>
      <c r="F71" s="216"/>
      <c r="G71" s="216"/>
      <c r="H71" s="216"/>
      <c r="I71" s="216"/>
      <c r="J71" s="216"/>
      <c r="K71" s="216"/>
      <c r="L71" s="216"/>
      <c r="M71" s="216"/>
      <c r="N71" s="216"/>
      <c r="O71" s="58" t="s">
        <v>64</v>
      </c>
      <c r="P71" s="58" t="s">
        <v>65</v>
      </c>
      <c r="S71" s="228" t="s">
        <v>63</v>
      </c>
      <c r="T71" s="229"/>
      <c r="V71" s="223" t="s">
        <v>228</v>
      </c>
      <c r="W71" s="224"/>
      <c r="X71" s="224"/>
      <c r="Y71" s="224"/>
      <c r="Z71" s="224"/>
      <c r="AA71" s="224"/>
    </row>
    <row r="72" spans="2:27" ht="30" x14ac:dyDescent="0.25">
      <c r="B72" s="34" t="s">
        <v>121</v>
      </c>
      <c r="C72" s="34">
        <f t="shared" ref="C72:N72" si="33">C8</f>
        <v>81151.199999999997</v>
      </c>
      <c r="D72" s="34">
        <f t="shared" si="33"/>
        <v>6302.4</v>
      </c>
      <c r="E72" s="34">
        <f t="shared" si="33"/>
        <v>6302.4</v>
      </c>
      <c r="F72" s="34">
        <f t="shared" si="33"/>
        <v>6302.4</v>
      </c>
      <c r="G72" s="34">
        <f t="shared" si="33"/>
        <v>6302.4</v>
      </c>
      <c r="H72" s="34">
        <f t="shared" si="33"/>
        <v>6302.4</v>
      </c>
      <c r="I72" s="34">
        <f t="shared" si="33"/>
        <v>6302.4</v>
      </c>
      <c r="J72" s="34">
        <f t="shared" si="33"/>
        <v>6302.4</v>
      </c>
      <c r="K72" s="34">
        <f t="shared" si="33"/>
        <v>6302.4</v>
      </c>
      <c r="L72" s="34">
        <f t="shared" si="33"/>
        <v>6302.4</v>
      </c>
      <c r="M72" s="34">
        <f t="shared" si="33"/>
        <v>6302.4</v>
      </c>
      <c r="N72" s="34">
        <f t="shared" si="33"/>
        <v>6302.4</v>
      </c>
      <c r="O72" s="34"/>
      <c r="P72" s="34"/>
      <c r="S72" s="143" t="s">
        <v>1</v>
      </c>
      <c r="T72" s="21">
        <f>P5</f>
        <v>63024</v>
      </c>
      <c r="V72" s="144" t="s">
        <v>2</v>
      </c>
      <c r="W72" s="145" t="s">
        <v>3</v>
      </c>
      <c r="X72" s="145" t="s">
        <v>4</v>
      </c>
      <c r="Y72" s="145" t="s">
        <v>5</v>
      </c>
      <c r="Z72" s="146" t="s">
        <v>6</v>
      </c>
      <c r="AA72" s="147" t="s">
        <v>5</v>
      </c>
    </row>
    <row r="73" spans="2:27" x14ac:dyDescent="0.25">
      <c r="B73" s="34" t="s">
        <v>122</v>
      </c>
      <c r="C73" s="34"/>
      <c r="D73" s="34"/>
      <c r="E73" s="34">
        <f>E9</f>
        <v>30000</v>
      </c>
      <c r="F73" s="34"/>
      <c r="G73" s="34"/>
      <c r="H73" s="34">
        <v>1500</v>
      </c>
      <c r="I73" s="34"/>
      <c r="J73" s="34"/>
      <c r="K73" s="34"/>
      <c r="L73" s="34"/>
      <c r="M73" s="34"/>
      <c r="N73" s="34"/>
      <c r="O73" s="34"/>
      <c r="P73" s="34"/>
      <c r="S73" s="143" t="s">
        <v>67</v>
      </c>
      <c r="T73" s="21">
        <v>0</v>
      </c>
      <c r="V73" s="148" t="s">
        <v>8</v>
      </c>
      <c r="W73" s="148"/>
      <c r="X73" s="148">
        <f>X75+X74</f>
        <v>46600</v>
      </c>
      <c r="Y73" s="148"/>
      <c r="Z73" s="148" t="s">
        <v>9</v>
      </c>
      <c r="AA73" s="149"/>
    </row>
    <row r="74" spans="2:27" ht="30" x14ac:dyDescent="0.25">
      <c r="B74" s="59" t="s">
        <v>123</v>
      </c>
      <c r="C74" s="59">
        <f t="shared" ref="C74:N74" si="34">C73+C72</f>
        <v>81151.199999999997</v>
      </c>
      <c r="D74" s="59">
        <f t="shared" si="34"/>
        <v>6302.4</v>
      </c>
      <c r="E74" s="59">
        <f t="shared" si="34"/>
        <v>36302.400000000001</v>
      </c>
      <c r="F74" s="59">
        <f t="shared" si="34"/>
        <v>6302.4</v>
      </c>
      <c r="G74" s="59">
        <f t="shared" si="34"/>
        <v>6302.4</v>
      </c>
      <c r="H74" s="59">
        <f t="shared" si="34"/>
        <v>7802.4</v>
      </c>
      <c r="I74" s="59">
        <f t="shared" si="34"/>
        <v>6302.4</v>
      </c>
      <c r="J74" s="59">
        <f t="shared" si="34"/>
        <v>6302.4</v>
      </c>
      <c r="K74" s="59">
        <f t="shared" si="34"/>
        <v>6302.4</v>
      </c>
      <c r="L74" s="59">
        <f t="shared" si="34"/>
        <v>6302.4</v>
      </c>
      <c r="M74" s="59">
        <f t="shared" si="34"/>
        <v>6302.4</v>
      </c>
      <c r="N74" s="59">
        <f t="shared" si="34"/>
        <v>6302.4</v>
      </c>
      <c r="O74" s="34"/>
      <c r="P74" s="34"/>
      <c r="S74" s="144" t="s">
        <v>10</v>
      </c>
      <c r="T74" s="131">
        <f>T72+T73</f>
        <v>63024</v>
      </c>
      <c r="V74" s="150" t="s">
        <v>11</v>
      </c>
      <c r="W74" s="150">
        <f>'Bilan et CDR N'!G7</f>
        <v>159000</v>
      </c>
      <c r="X74" s="150">
        <f>'Bilan et CDR N'!H7+P30*0.75</f>
        <v>14125</v>
      </c>
      <c r="Y74" s="150">
        <f>W74-X74</f>
        <v>144875</v>
      </c>
      <c r="Z74" s="150" t="s">
        <v>12</v>
      </c>
      <c r="AA74" s="151">
        <f>'Bilan et CDR N'!K7+'Hyp retenue | 3 ans + CB+ Compt'!P9</f>
        <v>80000</v>
      </c>
    </row>
    <row r="75" spans="2:27" x14ac:dyDescent="0.25">
      <c r="B75" s="34" t="s">
        <v>124</v>
      </c>
      <c r="C75" s="34">
        <f t="shared" ref="C75:N75" si="35">C17</f>
        <v>25390.720000000001</v>
      </c>
      <c r="D75" s="34">
        <f t="shared" si="35"/>
        <v>1890.7199999999998</v>
      </c>
      <c r="E75" s="34">
        <f t="shared" si="35"/>
        <v>1890.7199999999998</v>
      </c>
      <c r="F75" s="34">
        <f t="shared" si="35"/>
        <v>1890.7199999999998</v>
      </c>
      <c r="G75" s="34">
        <f t="shared" si="35"/>
        <v>1890.7199999999998</v>
      </c>
      <c r="H75" s="34">
        <f t="shared" si="35"/>
        <v>1890.7199999999998</v>
      </c>
      <c r="I75" s="34">
        <f t="shared" si="35"/>
        <v>1890.7199999999998</v>
      </c>
      <c r="J75" s="34">
        <f t="shared" si="35"/>
        <v>1890.7199999999998</v>
      </c>
      <c r="K75" s="34">
        <f t="shared" si="35"/>
        <v>1890.7199999999998</v>
      </c>
      <c r="L75" s="34">
        <f t="shared" si="35"/>
        <v>1890.7199999999998</v>
      </c>
      <c r="M75" s="34">
        <f t="shared" si="35"/>
        <v>1890.7199999999998</v>
      </c>
      <c r="N75" s="34">
        <f t="shared" si="35"/>
        <v>1890.7199999999998</v>
      </c>
      <c r="O75" s="34"/>
      <c r="P75" s="34"/>
      <c r="S75" s="143" t="s">
        <v>70</v>
      </c>
      <c r="T75" s="21">
        <f>P14</f>
        <v>18907.2</v>
      </c>
      <c r="V75" s="150" t="s">
        <v>14</v>
      </c>
      <c r="W75" s="150">
        <f>P51+'Bilan et CDR N'!G8</f>
        <v>55000</v>
      </c>
      <c r="X75" s="150">
        <f>'Bilan et CDR N'!H8+P30*0.25</f>
        <v>32475</v>
      </c>
      <c r="Y75" s="150">
        <f>W75-X75</f>
        <v>22525</v>
      </c>
      <c r="Z75" s="150" t="s">
        <v>15</v>
      </c>
      <c r="AA75" s="151">
        <f>'Bilan et CDR N'!K8</f>
        <v>5000</v>
      </c>
    </row>
    <row r="76" spans="2:27" x14ac:dyDescent="0.25">
      <c r="B76" s="34" t="s">
        <v>125</v>
      </c>
      <c r="C76" s="165">
        <f>'Bilan et CDR N'!$K$16/12</f>
        <v>375</v>
      </c>
      <c r="D76" s="165">
        <f>'Bilan et CDR N'!$K$16/12</f>
        <v>375</v>
      </c>
      <c r="E76" s="165">
        <f>'Bilan et CDR N'!$K$16/12</f>
        <v>375</v>
      </c>
      <c r="F76" s="165">
        <f>'Bilan et CDR N'!$K$16/12</f>
        <v>375</v>
      </c>
      <c r="G76" s="165">
        <f>'Bilan et CDR N'!$K$16/12</f>
        <v>375</v>
      </c>
      <c r="H76" s="165">
        <f>'Bilan et CDR N'!$K$16/12</f>
        <v>375</v>
      </c>
      <c r="I76" s="165">
        <f>'Bilan et CDR N'!$K$16/12</f>
        <v>375</v>
      </c>
      <c r="J76" s="165">
        <f>'Bilan et CDR N'!$K$16/12</f>
        <v>375</v>
      </c>
      <c r="K76" s="165">
        <f>'Bilan et CDR N'!$K$16/12</f>
        <v>375</v>
      </c>
      <c r="L76" s="165">
        <f>'Bilan et CDR N'!$K$16/12</f>
        <v>375</v>
      </c>
      <c r="M76" s="165">
        <f>'Bilan et CDR N'!$K$16/12</f>
        <v>375</v>
      </c>
      <c r="N76" s="165">
        <f>'Bilan et CDR N'!$K$16/12</f>
        <v>375</v>
      </c>
      <c r="O76" s="34"/>
      <c r="P76" s="34"/>
      <c r="S76" s="143" t="s">
        <v>73</v>
      </c>
      <c r="T76" s="21">
        <f>P23+P25</f>
        <v>88896.428571428565</v>
      </c>
      <c r="V76" s="148"/>
      <c r="W76" s="148"/>
      <c r="X76" s="148"/>
      <c r="Y76" s="148"/>
      <c r="Z76" s="150" t="s">
        <v>17</v>
      </c>
      <c r="AA76" s="151">
        <f>'Bilan et CDR N'!K9+'Bilan et CDR N'!C23</f>
        <v>22728</v>
      </c>
    </row>
    <row r="77" spans="2:27" x14ac:dyDescent="0.25">
      <c r="B77" s="34" t="s">
        <v>126</v>
      </c>
      <c r="C77" s="165">
        <f t="shared" ref="C77:N77" si="36">C32</f>
        <v>25625</v>
      </c>
      <c r="D77" s="165">
        <f t="shared" si="36"/>
        <v>25625</v>
      </c>
      <c r="E77" s="165">
        <f t="shared" si="36"/>
        <v>25625</v>
      </c>
      <c r="F77" s="165">
        <f t="shared" si="36"/>
        <v>25625</v>
      </c>
      <c r="G77" s="165">
        <f t="shared" si="36"/>
        <v>25625</v>
      </c>
      <c r="H77" s="165">
        <f t="shared" si="36"/>
        <v>25625</v>
      </c>
      <c r="I77" s="165">
        <f t="shared" si="36"/>
        <v>25625</v>
      </c>
      <c r="J77" s="165">
        <f t="shared" si="36"/>
        <v>25625</v>
      </c>
      <c r="K77" s="165">
        <f t="shared" si="36"/>
        <v>25625</v>
      </c>
      <c r="L77" s="165">
        <f t="shared" si="36"/>
        <v>25625</v>
      </c>
      <c r="M77" s="165">
        <f t="shared" si="36"/>
        <v>25625</v>
      </c>
      <c r="N77" s="165">
        <f t="shared" si="36"/>
        <v>25625</v>
      </c>
      <c r="O77" s="34"/>
      <c r="P77" s="34"/>
      <c r="S77" s="143" t="s">
        <v>18</v>
      </c>
      <c r="T77" s="21">
        <f>P40</f>
        <v>8200</v>
      </c>
      <c r="V77" s="150"/>
      <c r="W77" s="150"/>
      <c r="X77" s="150"/>
      <c r="Y77" s="150"/>
      <c r="Z77" s="150" t="s">
        <v>19</v>
      </c>
      <c r="AA77" s="151">
        <f>T89</f>
        <v>-495179.62857142859</v>
      </c>
    </row>
    <row r="78" spans="2:27" x14ac:dyDescent="0.25">
      <c r="B78" s="34" t="s">
        <v>21</v>
      </c>
      <c r="C78" s="34">
        <f t="shared" ref="C78:N78" si="37">C34</f>
        <v>16000</v>
      </c>
      <c r="D78" s="34">
        <f t="shared" si="37"/>
        <v>10250</v>
      </c>
      <c r="E78" s="34">
        <f t="shared" si="37"/>
        <v>10250</v>
      </c>
      <c r="F78" s="34">
        <f t="shared" si="37"/>
        <v>10250</v>
      </c>
      <c r="G78" s="34">
        <f t="shared" si="37"/>
        <v>10250</v>
      </c>
      <c r="H78" s="34">
        <f t="shared" si="37"/>
        <v>10250</v>
      </c>
      <c r="I78" s="34">
        <f t="shared" si="37"/>
        <v>10250</v>
      </c>
      <c r="J78" s="34">
        <f t="shared" si="37"/>
        <v>10250</v>
      </c>
      <c r="K78" s="34">
        <f t="shared" si="37"/>
        <v>10250</v>
      </c>
      <c r="L78" s="34">
        <f t="shared" si="37"/>
        <v>10250</v>
      </c>
      <c r="M78" s="34">
        <f t="shared" si="37"/>
        <v>10250</v>
      </c>
      <c r="N78" s="34">
        <f t="shared" si="37"/>
        <v>10250</v>
      </c>
      <c r="O78" s="34"/>
      <c r="P78" s="34"/>
      <c r="S78" s="143" t="s">
        <v>20</v>
      </c>
      <c r="T78" s="21">
        <f>P32</f>
        <v>307500</v>
      </c>
      <c r="V78" s="152"/>
      <c r="W78" s="153"/>
      <c r="Y78" s="153"/>
      <c r="Z78" s="151"/>
      <c r="AA78" s="149"/>
    </row>
    <row r="79" spans="2:27" x14ac:dyDescent="0.25">
      <c r="B79" s="34" t="s">
        <v>102</v>
      </c>
      <c r="C79" s="34">
        <f t="shared" ref="C79:N79" si="38">C41</f>
        <v>0</v>
      </c>
      <c r="D79" s="34">
        <f t="shared" si="38"/>
        <v>0</v>
      </c>
      <c r="E79" s="34">
        <f t="shared" si="38"/>
        <v>0</v>
      </c>
      <c r="F79" s="34">
        <f t="shared" si="38"/>
        <v>0</v>
      </c>
      <c r="G79" s="34">
        <f t="shared" si="38"/>
        <v>0</v>
      </c>
      <c r="H79" s="34">
        <f t="shared" si="38"/>
        <v>0</v>
      </c>
      <c r="I79" s="34">
        <f t="shared" si="38"/>
        <v>0</v>
      </c>
      <c r="J79" s="34">
        <f t="shared" si="38"/>
        <v>0</v>
      </c>
      <c r="K79" s="34">
        <f t="shared" si="38"/>
        <v>0</v>
      </c>
      <c r="L79" s="34">
        <f t="shared" si="38"/>
        <v>8200</v>
      </c>
      <c r="M79" s="34">
        <f t="shared" si="38"/>
        <v>0</v>
      </c>
      <c r="N79" s="34">
        <f t="shared" si="38"/>
        <v>0</v>
      </c>
      <c r="O79" s="34"/>
      <c r="P79" s="34"/>
      <c r="S79" s="143" t="s">
        <v>21</v>
      </c>
      <c r="T79" s="21">
        <f>P33</f>
        <v>123000</v>
      </c>
      <c r="V79" s="148" t="s">
        <v>22</v>
      </c>
      <c r="W79" s="148"/>
      <c r="X79" s="148"/>
      <c r="Y79" s="148"/>
      <c r="Z79" s="148" t="s">
        <v>23</v>
      </c>
      <c r="AA79" s="149"/>
    </row>
    <row r="80" spans="2:27" ht="30" x14ac:dyDescent="0.25">
      <c r="B80" s="34" t="s">
        <v>127</v>
      </c>
      <c r="C80" s="34">
        <f t="shared" ref="C80:N80" si="39">C28</f>
        <v>8828.0357142857138</v>
      </c>
      <c r="D80" s="34">
        <f t="shared" si="39"/>
        <v>8828.0357142857138</v>
      </c>
      <c r="E80" s="34">
        <f t="shared" si="39"/>
        <v>8828.0357142857138</v>
      </c>
      <c r="F80" s="34">
        <f t="shared" si="39"/>
        <v>8828.0357142857138</v>
      </c>
      <c r="G80" s="34">
        <f t="shared" si="39"/>
        <v>8828.0357142857138</v>
      </c>
      <c r="H80" s="34">
        <f t="shared" si="39"/>
        <v>8828.0357142857138</v>
      </c>
      <c r="I80" s="34">
        <f t="shared" si="39"/>
        <v>8828.0357142857138</v>
      </c>
      <c r="J80" s="34">
        <f t="shared" si="39"/>
        <v>8828.0357142857138</v>
      </c>
      <c r="K80" s="34">
        <f t="shared" si="39"/>
        <v>8828.0357142857138</v>
      </c>
      <c r="L80" s="34">
        <f t="shared" si="39"/>
        <v>8828.0357142857138</v>
      </c>
      <c r="M80" s="34">
        <f t="shared" si="39"/>
        <v>8828.0357142857138</v>
      </c>
      <c r="N80" s="34">
        <f t="shared" si="39"/>
        <v>8828.0357142857138</v>
      </c>
      <c r="O80" s="34"/>
      <c r="P80" s="34"/>
      <c r="S80" s="143" t="s">
        <v>75</v>
      </c>
      <c r="T80" s="21">
        <f>P30</f>
        <v>7500</v>
      </c>
      <c r="V80" s="150" t="s">
        <v>25</v>
      </c>
      <c r="W80" s="150">
        <f>'Bilan et CDR N'!G13</f>
        <v>15000</v>
      </c>
      <c r="X80" s="150"/>
      <c r="Y80" s="150">
        <f>W80</f>
        <v>15000</v>
      </c>
      <c r="Z80" s="150" t="s">
        <v>26</v>
      </c>
      <c r="AA80" s="151">
        <f>'Bilan et CDR N'!K13-P43</f>
        <v>80000</v>
      </c>
    </row>
    <row r="81" spans="2:27" x14ac:dyDescent="0.25">
      <c r="B81" s="34" t="s">
        <v>128</v>
      </c>
      <c r="C81" s="34">
        <f t="shared" ref="C81:N81" si="40">C45</f>
        <v>3683.3333333333335</v>
      </c>
      <c r="D81" s="34">
        <f t="shared" si="40"/>
        <v>3683.3333333333335</v>
      </c>
      <c r="E81" s="34">
        <f t="shared" si="40"/>
        <v>3683.3333333333335</v>
      </c>
      <c r="F81" s="34">
        <f t="shared" si="40"/>
        <v>3683.3333333333335</v>
      </c>
      <c r="G81" s="34">
        <f t="shared" si="40"/>
        <v>3683.3333333333335</v>
      </c>
      <c r="H81" s="34">
        <f t="shared" si="40"/>
        <v>3683.3333333333335</v>
      </c>
      <c r="I81" s="34">
        <f t="shared" si="40"/>
        <v>3683.3333333333335</v>
      </c>
      <c r="J81" s="34">
        <f t="shared" si="40"/>
        <v>3683.3333333333335</v>
      </c>
      <c r="K81" s="34">
        <f t="shared" si="40"/>
        <v>3683.3333333333335</v>
      </c>
      <c r="L81" s="34">
        <f t="shared" si="40"/>
        <v>3683.3333333333335</v>
      </c>
      <c r="M81" s="34">
        <f t="shared" si="40"/>
        <v>3683.3333333333335</v>
      </c>
      <c r="N81" s="34">
        <f t="shared" si="40"/>
        <v>3683.3333333333335</v>
      </c>
      <c r="O81" s="34"/>
      <c r="P81" s="34"/>
      <c r="S81" s="144" t="s">
        <v>76</v>
      </c>
      <c r="T81" s="131">
        <f>SUM(T75:T80)</f>
        <v>554003.62857142859</v>
      </c>
      <c r="V81" s="150" t="s">
        <v>28</v>
      </c>
      <c r="W81" s="150">
        <f>P8</f>
        <v>3151.2</v>
      </c>
      <c r="X81" s="150"/>
      <c r="Y81" s="150">
        <f>W81</f>
        <v>3151.2</v>
      </c>
      <c r="Z81" s="150" t="s">
        <v>29</v>
      </c>
      <c r="AA81" s="151">
        <f>P17</f>
        <v>0</v>
      </c>
    </row>
    <row r="82" spans="2:27" x14ac:dyDescent="0.25">
      <c r="B82" s="34" t="s">
        <v>129</v>
      </c>
      <c r="C82" s="34">
        <f t="shared" ref="C82:N82" si="41">C53</f>
        <v>0</v>
      </c>
      <c r="D82" s="34">
        <f t="shared" si="41"/>
        <v>0</v>
      </c>
      <c r="E82" s="34">
        <f t="shared" si="41"/>
        <v>0</v>
      </c>
      <c r="F82" s="34">
        <f t="shared" si="41"/>
        <v>0</v>
      </c>
      <c r="G82" s="34">
        <f t="shared" si="41"/>
        <v>0</v>
      </c>
      <c r="H82" s="34">
        <f t="shared" si="41"/>
        <v>0</v>
      </c>
      <c r="I82" s="34">
        <f t="shared" si="41"/>
        <v>0</v>
      </c>
      <c r="J82" s="34">
        <f t="shared" si="41"/>
        <v>0</v>
      </c>
      <c r="K82" s="34">
        <f t="shared" si="41"/>
        <v>0</v>
      </c>
      <c r="L82" s="34">
        <f t="shared" si="41"/>
        <v>0</v>
      </c>
      <c r="M82" s="34">
        <f t="shared" si="41"/>
        <v>0</v>
      </c>
      <c r="N82" s="34">
        <f t="shared" si="41"/>
        <v>0</v>
      </c>
      <c r="O82" s="34"/>
      <c r="P82" s="34"/>
      <c r="S82" s="154" t="s">
        <v>30</v>
      </c>
      <c r="T82" s="155">
        <f>T74-T81</f>
        <v>-490979.62857142859</v>
      </c>
      <c r="V82" s="150" t="s">
        <v>34</v>
      </c>
      <c r="W82" s="150">
        <f>AE60</f>
        <v>-464415.54857142846</v>
      </c>
      <c r="X82" s="150"/>
      <c r="Y82" s="150">
        <f>W82</f>
        <v>-464415.54857142846</v>
      </c>
      <c r="Z82" s="150" t="s">
        <v>32</v>
      </c>
      <c r="AA82" s="151">
        <f>P66+P34</f>
        <v>9565.2800000000007</v>
      </c>
    </row>
    <row r="83" spans="2:27" x14ac:dyDescent="0.25">
      <c r="B83" s="34" t="s">
        <v>130</v>
      </c>
      <c r="C83" s="34">
        <f t="shared" ref="C83:N83" si="42">C66</f>
        <v>15000</v>
      </c>
      <c r="D83" s="34">
        <f t="shared" si="42"/>
        <v>-684.7199999999998</v>
      </c>
      <c r="E83" s="34">
        <f t="shared" si="42"/>
        <v>-684.7199999999998</v>
      </c>
      <c r="F83" s="34">
        <f t="shared" si="42"/>
        <v>-684.7199999999998</v>
      </c>
      <c r="G83" s="34">
        <f t="shared" si="42"/>
        <v>-684.7199999999998</v>
      </c>
      <c r="H83" s="34">
        <f t="shared" si="42"/>
        <v>-684.7199999999998</v>
      </c>
      <c r="I83" s="34">
        <f t="shared" si="42"/>
        <v>-684.7199999999998</v>
      </c>
      <c r="J83" s="34">
        <f t="shared" si="42"/>
        <v>-684.7199999999998</v>
      </c>
      <c r="K83" s="34">
        <f t="shared" si="42"/>
        <v>-684.7199999999998</v>
      </c>
      <c r="L83" s="34">
        <f t="shared" si="42"/>
        <v>-684.7199999999998</v>
      </c>
      <c r="M83" s="34">
        <f t="shared" si="42"/>
        <v>-684.7199999999998</v>
      </c>
      <c r="N83" s="34">
        <f t="shared" si="42"/>
        <v>-684.7199999999998</v>
      </c>
      <c r="O83" s="34"/>
      <c r="P83" s="34"/>
      <c r="S83" s="144" t="s">
        <v>33</v>
      </c>
      <c r="T83" s="131">
        <v>0</v>
      </c>
      <c r="V83" s="150"/>
      <c r="W83" s="150"/>
      <c r="X83" s="150"/>
      <c r="Y83" s="150"/>
      <c r="Z83" s="150" t="s">
        <v>221</v>
      </c>
      <c r="AA83" s="151">
        <f>SUM(T53:AE53)</f>
        <v>0</v>
      </c>
    </row>
    <row r="84" spans="2:27" x14ac:dyDescent="0.25">
      <c r="B84" s="59" t="s">
        <v>131</v>
      </c>
      <c r="C84" s="59">
        <f t="shared" ref="C84:N84" si="43">SUM(C75:C83)</f>
        <v>94902.08904761904</v>
      </c>
      <c r="D84" s="59">
        <f t="shared" si="43"/>
        <v>49967.369047619046</v>
      </c>
      <c r="E84" s="59">
        <f t="shared" si="43"/>
        <v>49967.369047619046</v>
      </c>
      <c r="F84" s="59">
        <f t="shared" si="43"/>
        <v>49967.369047619046</v>
      </c>
      <c r="G84" s="59">
        <f t="shared" si="43"/>
        <v>49967.369047619046</v>
      </c>
      <c r="H84" s="59">
        <f t="shared" si="43"/>
        <v>49967.369047619046</v>
      </c>
      <c r="I84" s="59">
        <f t="shared" si="43"/>
        <v>49967.369047619046</v>
      </c>
      <c r="J84" s="59">
        <f t="shared" si="43"/>
        <v>49967.369047619046</v>
      </c>
      <c r="K84" s="59">
        <f t="shared" si="43"/>
        <v>49967.369047619046</v>
      </c>
      <c r="L84" s="59">
        <f t="shared" si="43"/>
        <v>58167.369047619046</v>
      </c>
      <c r="M84" s="59">
        <f t="shared" si="43"/>
        <v>49967.369047619046</v>
      </c>
      <c r="N84" s="59">
        <f t="shared" si="43"/>
        <v>49967.369047619046</v>
      </c>
      <c r="O84" s="34"/>
      <c r="P84" s="34"/>
      <c r="S84" s="143" t="s">
        <v>36</v>
      </c>
      <c r="T84" s="21">
        <f>P42+SUM(T56:AE56)</f>
        <v>4200</v>
      </c>
      <c r="V84" s="156" t="s">
        <v>38</v>
      </c>
      <c r="W84" s="156">
        <f>SUM(W74:W82)</f>
        <v>-232264.34857142845</v>
      </c>
      <c r="X84" s="156"/>
      <c r="Y84" s="156">
        <f>SUM(Y74:Y83)</f>
        <v>-278864.34857142845</v>
      </c>
      <c r="Z84" s="156" t="s">
        <v>39</v>
      </c>
      <c r="AA84" s="157">
        <f>SUM(AA74:AA83)</f>
        <v>-297886.34857142856</v>
      </c>
    </row>
    <row r="85" spans="2:27" x14ac:dyDescent="0.25">
      <c r="B85" s="59" t="s">
        <v>132</v>
      </c>
      <c r="C85" s="59">
        <f>'Bilan et CDR N'!I16</f>
        <v>6350</v>
      </c>
      <c r="D85" s="59">
        <f t="shared" ref="D85:N85" si="44">C87</f>
        <v>-7400.8890476190427</v>
      </c>
      <c r="E85" s="59">
        <f t="shared" si="44"/>
        <v>-51065.858095238087</v>
      </c>
      <c r="F85" s="59">
        <f t="shared" si="44"/>
        <v>-64730.827142857132</v>
      </c>
      <c r="G85" s="59">
        <f t="shared" si="44"/>
        <v>-108395.79619047618</v>
      </c>
      <c r="H85" s="59">
        <f t="shared" si="44"/>
        <v>-152060.76523809522</v>
      </c>
      <c r="I85" s="59">
        <f t="shared" si="44"/>
        <v>-194225.73428571428</v>
      </c>
      <c r="J85" s="59">
        <f t="shared" si="44"/>
        <v>-237890.70333333331</v>
      </c>
      <c r="K85" s="59">
        <f t="shared" si="44"/>
        <v>-281555.67238095234</v>
      </c>
      <c r="L85" s="59">
        <f t="shared" si="44"/>
        <v>-325220.64142857137</v>
      </c>
      <c r="M85" s="59">
        <f t="shared" si="44"/>
        <v>-377085.6104761904</v>
      </c>
      <c r="N85" s="59">
        <f t="shared" si="44"/>
        <v>-420750.57952380943</v>
      </c>
      <c r="O85" s="34"/>
      <c r="P85" s="34"/>
      <c r="S85" s="144" t="s">
        <v>37</v>
      </c>
      <c r="T85" s="131">
        <f>T84</f>
        <v>4200</v>
      </c>
      <c r="Z85" s="158" t="s">
        <v>42</v>
      </c>
      <c r="AA85" s="159">
        <f>Y84-AA84</f>
        <v>19022.000000000116</v>
      </c>
    </row>
    <row r="86" spans="2:27" x14ac:dyDescent="0.25">
      <c r="B86" s="34" t="s">
        <v>133</v>
      </c>
      <c r="C86" s="34">
        <f t="shared" ref="C86:N86" si="45">C74-C84</f>
        <v>-13750.889047619043</v>
      </c>
      <c r="D86" s="34">
        <f t="shared" si="45"/>
        <v>-43664.969047619044</v>
      </c>
      <c r="E86" s="34">
        <f t="shared" si="45"/>
        <v>-13664.969047619044</v>
      </c>
      <c r="F86" s="34">
        <f t="shared" si="45"/>
        <v>-43664.969047619044</v>
      </c>
      <c r="G86" s="34">
        <f t="shared" si="45"/>
        <v>-43664.969047619044</v>
      </c>
      <c r="H86" s="34">
        <f t="shared" si="45"/>
        <v>-42164.969047619044</v>
      </c>
      <c r="I86" s="34">
        <f t="shared" si="45"/>
        <v>-43664.969047619044</v>
      </c>
      <c r="J86" s="34">
        <f t="shared" si="45"/>
        <v>-43664.969047619044</v>
      </c>
      <c r="K86" s="34">
        <f t="shared" si="45"/>
        <v>-43664.969047619044</v>
      </c>
      <c r="L86" s="34">
        <f t="shared" si="45"/>
        <v>-51864.969047619044</v>
      </c>
      <c r="M86" s="34">
        <f t="shared" si="45"/>
        <v>-43664.969047619044</v>
      </c>
      <c r="N86" s="34">
        <f t="shared" si="45"/>
        <v>-43664.969047619044</v>
      </c>
      <c r="O86" s="34"/>
      <c r="P86" s="34"/>
      <c r="S86" s="154" t="s">
        <v>40</v>
      </c>
      <c r="T86" s="155">
        <f>T83-T85</f>
        <v>-4200</v>
      </c>
    </row>
    <row r="87" spans="2:27" x14ac:dyDescent="0.25">
      <c r="B87" s="59" t="s">
        <v>134</v>
      </c>
      <c r="C87" s="59">
        <f t="shared" ref="C87:N87" si="46">C85+C86</f>
        <v>-7400.8890476190427</v>
      </c>
      <c r="D87" s="59">
        <f t="shared" si="46"/>
        <v>-51065.858095238087</v>
      </c>
      <c r="E87" s="59">
        <f t="shared" si="46"/>
        <v>-64730.827142857132</v>
      </c>
      <c r="F87" s="59">
        <f t="shared" si="46"/>
        <v>-108395.79619047618</v>
      </c>
      <c r="G87" s="59">
        <f t="shared" si="46"/>
        <v>-152060.76523809522</v>
      </c>
      <c r="H87" s="59">
        <f t="shared" si="46"/>
        <v>-194225.73428571428</v>
      </c>
      <c r="I87" s="59">
        <f t="shared" si="46"/>
        <v>-237890.70333333331</v>
      </c>
      <c r="J87" s="59">
        <f t="shared" si="46"/>
        <v>-281555.67238095234</v>
      </c>
      <c r="K87" s="59">
        <f t="shared" si="46"/>
        <v>-325220.64142857137</v>
      </c>
      <c r="L87" s="59">
        <f t="shared" si="46"/>
        <v>-377085.6104761904</v>
      </c>
      <c r="M87" s="59">
        <f t="shared" si="46"/>
        <v>-420750.57952380943</v>
      </c>
      <c r="N87" s="59">
        <f t="shared" si="46"/>
        <v>-464415.54857142846</v>
      </c>
      <c r="O87" s="60" t="s">
        <v>135</v>
      </c>
      <c r="P87" s="61">
        <f>N87</f>
        <v>-464415.54857142846</v>
      </c>
      <c r="S87" s="154" t="s">
        <v>43</v>
      </c>
      <c r="T87" s="155">
        <f>T82-(-T86)</f>
        <v>-495179.62857142859</v>
      </c>
    </row>
    <row r="88" spans="2:27" x14ac:dyDescent="0.25">
      <c r="S88" s="154" t="s">
        <v>45</v>
      </c>
      <c r="T88" s="21"/>
    </row>
    <row r="89" spans="2:27" x14ac:dyDescent="0.25">
      <c r="S89" s="160" t="s">
        <v>47</v>
      </c>
      <c r="T89" s="161">
        <f>T87</f>
        <v>-495179.62857142859</v>
      </c>
    </row>
    <row r="91" spans="2:27" ht="24" x14ac:dyDescent="0.4">
      <c r="B91" s="290" t="s">
        <v>136</v>
      </c>
      <c r="C91" s="290"/>
      <c r="D91" s="290"/>
      <c r="E91" s="290"/>
      <c r="F91" s="290"/>
      <c r="G91" s="290"/>
      <c r="H91" s="290"/>
      <c r="I91" s="290"/>
      <c r="J91" s="290"/>
      <c r="K91" s="290"/>
      <c r="L91" s="290"/>
      <c r="M91" s="290"/>
      <c r="N91" s="290"/>
      <c r="O91" s="290"/>
      <c r="P91" s="290"/>
    </row>
    <row r="94" spans="2:27" ht="15" customHeight="1" x14ac:dyDescent="0.25">
      <c r="B94" s="288" t="s">
        <v>137</v>
      </c>
      <c r="C94" s="288"/>
      <c r="D94" s="288"/>
      <c r="E94" s="288"/>
      <c r="F94" s="288"/>
      <c r="G94" s="288"/>
      <c r="H94" s="288"/>
      <c r="I94" s="288"/>
      <c r="J94" s="288"/>
      <c r="K94" s="288"/>
      <c r="L94" s="288"/>
      <c r="M94" s="288"/>
      <c r="N94" s="288"/>
      <c r="O94" s="288"/>
      <c r="P94" s="288"/>
    </row>
    <row r="95" spans="2:27" x14ac:dyDescent="0.25">
      <c r="B95" s="213"/>
      <c r="C95" s="215" t="s">
        <v>50</v>
      </c>
      <c r="D95" s="215" t="s">
        <v>51</v>
      </c>
      <c r="E95" s="215" t="s">
        <v>52</v>
      </c>
      <c r="F95" s="215" t="s">
        <v>53</v>
      </c>
      <c r="G95" s="215" t="s">
        <v>54</v>
      </c>
      <c r="H95" s="215" t="s">
        <v>55</v>
      </c>
      <c r="I95" s="215" t="s">
        <v>56</v>
      </c>
      <c r="J95" s="215" t="s">
        <v>57</v>
      </c>
      <c r="K95" s="215" t="s">
        <v>58</v>
      </c>
      <c r="L95" s="215" t="s">
        <v>59</v>
      </c>
      <c r="M95" s="215" t="s">
        <v>60</v>
      </c>
      <c r="N95" s="215" t="s">
        <v>61</v>
      </c>
      <c r="O95" s="220" t="s">
        <v>62</v>
      </c>
      <c r="P95" s="221"/>
    </row>
    <row r="96" spans="2:27" x14ac:dyDescent="0.25">
      <c r="B96" s="214"/>
      <c r="C96" s="216"/>
      <c r="D96" s="216"/>
      <c r="E96" s="216"/>
      <c r="F96" s="216"/>
      <c r="G96" s="216"/>
      <c r="H96" s="216"/>
      <c r="I96" s="216"/>
      <c r="J96" s="216"/>
      <c r="K96" s="216"/>
      <c r="L96" s="216"/>
      <c r="M96" s="216"/>
      <c r="N96" s="216"/>
      <c r="O96" s="58" t="s">
        <v>64</v>
      </c>
      <c r="P96" s="58" t="s">
        <v>65</v>
      </c>
    </row>
    <row r="97" spans="2:16" x14ac:dyDescent="0.25">
      <c r="B97" s="34" t="s">
        <v>66</v>
      </c>
      <c r="C97" s="34">
        <f t="shared" ref="C97:N97" si="47">C5*1.03</f>
        <v>5409.56</v>
      </c>
      <c r="D97" s="34">
        <f t="shared" si="47"/>
        <v>5409.56</v>
      </c>
      <c r="E97" s="34">
        <f t="shared" si="47"/>
        <v>5409.56</v>
      </c>
      <c r="F97" s="34">
        <f t="shared" si="47"/>
        <v>5409.56</v>
      </c>
      <c r="G97" s="34">
        <f t="shared" si="47"/>
        <v>5409.56</v>
      </c>
      <c r="H97" s="34">
        <f t="shared" si="47"/>
        <v>5409.56</v>
      </c>
      <c r="I97" s="34">
        <f t="shared" si="47"/>
        <v>5409.56</v>
      </c>
      <c r="J97" s="34">
        <f t="shared" si="47"/>
        <v>5409.56</v>
      </c>
      <c r="K97" s="34">
        <f t="shared" si="47"/>
        <v>5409.56</v>
      </c>
      <c r="L97" s="34">
        <f t="shared" si="47"/>
        <v>5409.56</v>
      </c>
      <c r="M97" s="34">
        <f t="shared" si="47"/>
        <v>5409.56</v>
      </c>
      <c r="N97" s="34">
        <f t="shared" si="47"/>
        <v>5409.56</v>
      </c>
      <c r="O97" s="60" t="s">
        <v>1</v>
      </c>
      <c r="P97" s="61">
        <f>SUM(C97:N97)</f>
        <v>64914.719999999994</v>
      </c>
    </row>
    <row r="98" spans="2:16" x14ac:dyDescent="0.25">
      <c r="B98" s="34" t="s">
        <v>68</v>
      </c>
      <c r="C98" s="34">
        <f t="shared" ref="C98:N98" si="48">C97*20%</f>
        <v>1081.912</v>
      </c>
      <c r="D98" s="34">
        <f t="shared" si="48"/>
        <v>1081.912</v>
      </c>
      <c r="E98" s="34">
        <f t="shared" si="48"/>
        <v>1081.912</v>
      </c>
      <c r="F98" s="34">
        <f t="shared" si="48"/>
        <v>1081.912</v>
      </c>
      <c r="G98" s="34">
        <f t="shared" si="48"/>
        <v>1081.912</v>
      </c>
      <c r="H98" s="34">
        <f t="shared" si="48"/>
        <v>1081.912</v>
      </c>
      <c r="I98" s="34">
        <f t="shared" si="48"/>
        <v>1081.912</v>
      </c>
      <c r="J98" s="34">
        <f t="shared" si="48"/>
        <v>1081.912</v>
      </c>
      <c r="K98" s="34">
        <f t="shared" si="48"/>
        <v>1081.912</v>
      </c>
      <c r="L98" s="34">
        <f t="shared" si="48"/>
        <v>1081.912</v>
      </c>
      <c r="M98" s="34">
        <f t="shared" si="48"/>
        <v>1081.912</v>
      </c>
      <c r="N98" s="34">
        <f t="shared" si="48"/>
        <v>1081.912</v>
      </c>
      <c r="O98" s="34"/>
      <c r="P98" s="34"/>
    </row>
    <row r="99" spans="2:16" x14ac:dyDescent="0.25">
      <c r="B99" s="34" t="s">
        <v>69</v>
      </c>
      <c r="C99" s="34">
        <f t="shared" ref="C99:N99" si="49">C97+C98</f>
        <v>6491.4720000000007</v>
      </c>
      <c r="D99" s="34">
        <f t="shared" si="49"/>
        <v>6491.4720000000007</v>
      </c>
      <c r="E99" s="34">
        <f t="shared" si="49"/>
        <v>6491.4720000000007</v>
      </c>
      <c r="F99" s="34">
        <f t="shared" si="49"/>
        <v>6491.4720000000007</v>
      </c>
      <c r="G99" s="34">
        <f t="shared" si="49"/>
        <v>6491.4720000000007</v>
      </c>
      <c r="H99" s="34">
        <f t="shared" si="49"/>
        <v>6491.4720000000007</v>
      </c>
      <c r="I99" s="34">
        <f t="shared" si="49"/>
        <v>6491.4720000000007</v>
      </c>
      <c r="J99" s="34">
        <f t="shared" si="49"/>
        <v>6491.4720000000007</v>
      </c>
      <c r="K99" s="34">
        <f t="shared" si="49"/>
        <v>6491.4720000000007</v>
      </c>
      <c r="L99" s="34">
        <f t="shared" si="49"/>
        <v>6491.4720000000007</v>
      </c>
      <c r="M99" s="34">
        <f t="shared" si="49"/>
        <v>6491.4720000000007</v>
      </c>
      <c r="N99" s="34">
        <f t="shared" si="49"/>
        <v>6491.4720000000007</v>
      </c>
      <c r="O99" s="34"/>
      <c r="P99" s="34"/>
    </row>
    <row r="100" spans="2:16" x14ac:dyDescent="0.25">
      <c r="B100" s="59" t="s">
        <v>139</v>
      </c>
      <c r="C100" s="59">
        <f>P8+C99*0.5</f>
        <v>6396.9359999999997</v>
      </c>
      <c r="D100" s="59">
        <f t="shared" ref="D100:N100" si="50">C99*0.5+D99*0.5</f>
        <v>6491.4720000000007</v>
      </c>
      <c r="E100" s="59">
        <f t="shared" si="50"/>
        <v>6491.4720000000007</v>
      </c>
      <c r="F100" s="59">
        <f t="shared" si="50"/>
        <v>6491.4720000000007</v>
      </c>
      <c r="G100" s="59">
        <f t="shared" si="50"/>
        <v>6491.4720000000007</v>
      </c>
      <c r="H100" s="59">
        <f t="shared" si="50"/>
        <v>6491.4720000000007</v>
      </c>
      <c r="I100" s="59">
        <f t="shared" si="50"/>
        <v>6491.4720000000007</v>
      </c>
      <c r="J100" s="59">
        <f t="shared" si="50"/>
        <v>6491.4720000000007</v>
      </c>
      <c r="K100" s="59">
        <f t="shared" si="50"/>
        <v>6491.4720000000007</v>
      </c>
      <c r="L100" s="59">
        <f t="shared" si="50"/>
        <v>6491.4720000000007</v>
      </c>
      <c r="M100" s="59">
        <f t="shared" si="50"/>
        <v>6491.4720000000007</v>
      </c>
      <c r="N100" s="59">
        <f t="shared" si="50"/>
        <v>6491.4720000000007</v>
      </c>
      <c r="O100" s="60" t="s">
        <v>72</v>
      </c>
      <c r="P100" s="61">
        <f>N99*0.5</f>
        <v>3245.7360000000003</v>
      </c>
    </row>
    <row r="103" spans="2:16" x14ac:dyDescent="0.25">
      <c r="B103" s="288" t="s">
        <v>140</v>
      </c>
      <c r="C103" s="288"/>
      <c r="D103" s="288"/>
      <c r="E103" s="288"/>
      <c r="F103" s="288"/>
      <c r="G103" s="288"/>
      <c r="H103" s="288"/>
      <c r="I103" s="288"/>
      <c r="J103" s="288"/>
      <c r="K103" s="288"/>
      <c r="L103" s="288"/>
      <c r="M103" s="288"/>
      <c r="N103" s="288"/>
      <c r="O103" s="288"/>
      <c r="P103" s="288"/>
    </row>
    <row r="104" spans="2:16" x14ac:dyDescent="0.25">
      <c r="B104" s="213"/>
      <c r="C104" s="215" t="s">
        <v>50</v>
      </c>
      <c r="D104" s="215" t="s">
        <v>51</v>
      </c>
      <c r="E104" s="215" t="s">
        <v>52</v>
      </c>
      <c r="F104" s="215" t="s">
        <v>53</v>
      </c>
      <c r="G104" s="215" t="s">
        <v>54</v>
      </c>
      <c r="H104" s="215" t="s">
        <v>55</v>
      </c>
      <c r="I104" s="215" t="s">
        <v>56</v>
      </c>
      <c r="J104" s="215" t="s">
        <v>57</v>
      </c>
      <c r="K104" s="215" t="s">
        <v>58</v>
      </c>
      <c r="L104" s="215" t="s">
        <v>59</v>
      </c>
      <c r="M104" s="215" t="s">
        <v>60</v>
      </c>
      <c r="N104" s="215" t="s">
        <v>61</v>
      </c>
      <c r="O104" s="220" t="s">
        <v>62</v>
      </c>
      <c r="P104" s="221"/>
    </row>
    <row r="105" spans="2:16" x14ac:dyDescent="0.25">
      <c r="B105" s="214"/>
      <c r="C105" s="216"/>
      <c r="D105" s="216"/>
      <c r="E105" s="216"/>
      <c r="F105" s="216"/>
      <c r="G105" s="216"/>
      <c r="H105" s="216"/>
      <c r="I105" s="216"/>
      <c r="J105" s="216"/>
      <c r="K105" s="216"/>
      <c r="L105" s="216"/>
      <c r="M105" s="216"/>
      <c r="N105" s="216"/>
      <c r="O105" s="58" t="s">
        <v>64</v>
      </c>
      <c r="P105" s="58" t="s">
        <v>65</v>
      </c>
    </row>
    <row r="106" spans="2:16" x14ac:dyDescent="0.25">
      <c r="B106" s="34" t="s">
        <v>77</v>
      </c>
      <c r="C106" s="34">
        <f t="shared" ref="C106:N106" si="51">C97*31%</f>
        <v>1676.9636</v>
      </c>
      <c r="D106" s="34">
        <f t="shared" si="51"/>
        <v>1676.9636</v>
      </c>
      <c r="E106" s="34">
        <f t="shared" si="51"/>
        <v>1676.9636</v>
      </c>
      <c r="F106" s="34">
        <f t="shared" si="51"/>
        <v>1676.9636</v>
      </c>
      <c r="G106" s="34">
        <f t="shared" si="51"/>
        <v>1676.9636</v>
      </c>
      <c r="H106" s="34">
        <f t="shared" si="51"/>
        <v>1676.9636</v>
      </c>
      <c r="I106" s="34">
        <f t="shared" si="51"/>
        <v>1676.9636</v>
      </c>
      <c r="J106" s="34">
        <f t="shared" si="51"/>
        <v>1676.9636</v>
      </c>
      <c r="K106" s="34">
        <f t="shared" si="51"/>
        <v>1676.9636</v>
      </c>
      <c r="L106" s="34">
        <f t="shared" si="51"/>
        <v>1676.9636</v>
      </c>
      <c r="M106" s="34">
        <f t="shared" si="51"/>
        <v>1676.9636</v>
      </c>
      <c r="N106" s="34">
        <f t="shared" si="51"/>
        <v>1676.9636</v>
      </c>
      <c r="O106" s="60" t="s">
        <v>78</v>
      </c>
      <c r="P106" s="61">
        <f>SUM(C106:N106)</f>
        <v>20123.563199999993</v>
      </c>
    </row>
    <row r="107" spans="2:16" x14ac:dyDescent="0.25">
      <c r="B107" s="34" t="s">
        <v>79</v>
      </c>
      <c r="C107" s="34">
        <f t="shared" ref="C107:N107" si="52">C106*20%</f>
        <v>335.39272000000005</v>
      </c>
      <c r="D107" s="34">
        <f t="shared" si="52"/>
        <v>335.39272000000005</v>
      </c>
      <c r="E107" s="34">
        <f t="shared" si="52"/>
        <v>335.39272000000005</v>
      </c>
      <c r="F107" s="34">
        <f t="shared" si="52"/>
        <v>335.39272000000005</v>
      </c>
      <c r="G107" s="34">
        <f t="shared" si="52"/>
        <v>335.39272000000005</v>
      </c>
      <c r="H107" s="34">
        <f t="shared" si="52"/>
        <v>335.39272000000005</v>
      </c>
      <c r="I107" s="34">
        <f t="shared" si="52"/>
        <v>335.39272000000005</v>
      </c>
      <c r="J107" s="34">
        <f t="shared" si="52"/>
        <v>335.39272000000005</v>
      </c>
      <c r="K107" s="34">
        <f t="shared" si="52"/>
        <v>335.39272000000005</v>
      </c>
      <c r="L107" s="34">
        <f t="shared" si="52"/>
        <v>335.39272000000005</v>
      </c>
      <c r="M107" s="34">
        <f t="shared" si="52"/>
        <v>335.39272000000005</v>
      </c>
      <c r="N107" s="34">
        <f t="shared" si="52"/>
        <v>335.39272000000005</v>
      </c>
      <c r="O107" s="34"/>
      <c r="P107" s="34"/>
    </row>
    <row r="108" spans="2:16" x14ac:dyDescent="0.25">
      <c r="B108" s="34" t="s">
        <v>80</v>
      </c>
      <c r="C108" s="34">
        <f t="shared" ref="C108:N108" si="53">C106+C107</f>
        <v>2012.3563200000001</v>
      </c>
      <c r="D108" s="34">
        <f t="shared" si="53"/>
        <v>2012.3563200000001</v>
      </c>
      <c r="E108" s="34">
        <f t="shared" si="53"/>
        <v>2012.3563200000001</v>
      </c>
      <c r="F108" s="34">
        <f t="shared" si="53"/>
        <v>2012.3563200000001</v>
      </c>
      <c r="G108" s="34">
        <f t="shared" si="53"/>
        <v>2012.3563200000001</v>
      </c>
      <c r="H108" s="34">
        <f t="shared" si="53"/>
        <v>2012.3563200000001</v>
      </c>
      <c r="I108" s="34">
        <f t="shared" si="53"/>
        <v>2012.3563200000001</v>
      </c>
      <c r="J108" s="34">
        <f t="shared" si="53"/>
        <v>2012.3563200000001</v>
      </c>
      <c r="K108" s="34">
        <f t="shared" si="53"/>
        <v>2012.3563200000001</v>
      </c>
      <c r="L108" s="34">
        <f t="shared" si="53"/>
        <v>2012.3563200000001</v>
      </c>
      <c r="M108" s="34">
        <f t="shared" si="53"/>
        <v>2012.3563200000001</v>
      </c>
      <c r="N108" s="34">
        <f t="shared" si="53"/>
        <v>2012.3563200000001</v>
      </c>
      <c r="O108" s="34"/>
      <c r="P108" s="34"/>
    </row>
    <row r="109" spans="2:16" x14ac:dyDescent="0.25">
      <c r="B109" s="59" t="s">
        <v>81</v>
      </c>
      <c r="C109" s="59">
        <f t="shared" ref="C109:N109" si="54">C108</f>
        <v>2012.3563200000001</v>
      </c>
      <c r="D109" s="59">
        <f t="shared" si="54"/>
        <v>2012.3563200000001</v>
      </c>
      <c r="E109" s="59">
        <f t="shared" si="54"/>
        <v>2012.3563200000001</v>
      </c>
      <c r="F109" s="59">
        <f t="shared" si="54"/>
        <v>2012.3563200000001</v>
      </c>
      <c r="G109" s="59">
        <f t="shared" si="54"/>
        <v>2012.3563200000001</v>
      </c>
      <c r="H109" s="59">
        <f t="shared" si="54"/>
        <v>2012.3563200000001</v>
      </c>
      <c r="I109" s="59">
        <f t="shared" si="54"/>
        <v>2012.3563200000001</v>
      </c>
      <c r="J109" s="59">
        <f t="shared" si="54"/>
        <v>2012.3563200000001</v>
      </c>
      <c r="K109" s="59">
        <f t="shared" si="54"/>
        <v>2012.3563200000001</v>
      </c>
      <c r="L109" s="59">
        <f t="shared" si="54"/>
        <v>2012.3563200000001</v>
      </c>
      <c r="M109" s="59">
        <f t="shared" si="54"/>
        <v>2012.3563200000001</v>
      </c>
      <c r="N109" s="59">
        <f t="shared" si="54"/>
        <v>2012.3563200000001</v>
      </c>
      <c r="O109" s="60" t="s">
        <v>82</v>
      </c>
      <c r="P109" s="61">
        <v>0</v>
      </c>
    </row>
    <row r="112" spans="2:16" x14ac:dyDescent="0.25">
      <c r="B112" s="288" t="s">
        <v>142</v>
      </c>
      <c r="C112" s="288"/>
      <c r="D112" s="288"/>
      <c r="E112" s="288"/>
      <c r="F112" s="288"/>
      <c r="G112" s="288"/>
      <c r="H112" s="288"/>
      <c r="I112" s="288"/>
      <c r="J112" s="288"/>
      <c r="K112" s="288"/>
      <c r="L112" s="288"/>
      <c r="M112" s="288"/>
      <c r="N112" s="288"/>
      <c r="O112" s="288"/>
      <c r="P112" s="288"/>
    </row>
    <row r="113" spans="2:16" x14ac:dyDescent="0.25">
      <c r="B113" s="213"/>
      <c r="C113" s="215" t="s">
        <v>50</v>
      </c>
      <c r="D113" s="215" t="s">
        <v>51</v>
      </c>
      <c r="E113" s="215" t="s">
        <v>52</v>
      </c>
      <c r="F113" s="215" t="s">
        <v>53</v>
      </c>
      <c r="G113" s="215" t="s">
        <v>54</v>
      </c>
      <c r="H113" s="215" t="s">
        <v>55</v>
      </c>
      <c r="I113" s="215" t="s">
        <v>56</v>
      </c>
      <c r="J113" s="215" t="s">
        <v>57</v>
      </c>
      <c r="K113" s="215" t="s">
        <v>58</v>
      </c>
      <c r="L113" s="215" t="s">
        <v>59</v>
      </c>
      <c r="M113" s="215" t="s">
        <v>60</v>
      </c>
      <c r="N113" s="215" t="s">
        <v>61</v>
      </c>
      <c r="O113" s="220" t="s">
        <v>62</v>
      </c>
      <c r="P113" s="221"/>
    </row>
    <row r="114" spans="2:16" x14ac:dyDescent="0.25">
      <c r="B114" s="214"/>
      <c r="C114" s="216"/>
      <c r="D114" s="216"/>
      <c r="E114" s="216"/>
      <c r="F114" s="216"/>
      <c r="G114" s="216"/>
      <c r="H114" s="216"/>
      <c r="I114" s="216"/>
      <c r="J114" s="216"/>
      <c r="K114" s="216"/>
      <c r="L114" s="216"/>
      <c r="M114" s="216"/>
      <c r="N114" s="216"/>
      <c r="O114" s="58" t="s">
        <v>64</v>
      </c>
      <c r="P114" s="58" t="s">
        <v>65</v>
      </c>
    </row>
    <row r="115" spans="2:16" x14ac:dyDescent="0.25">
      <c r="B115" s="21" t="s">
        <v>84</v>
      </c>
      <c r="C115" s="21">
        <v>7100</v>
      </c>
      <c r="D115" s="21">
        <v>7100</v>
      </c>
      <c r="E115" s="21">
        <v>7100</v>
      </c>
      <c r="F115" s="21">
        <v>7100</v>
      </c>
      <c r="G115" s="21">
        <v>7100</v>
      </c>
      <c r="H115" s="21">
        <v>7100</v>
      </c>
      <c r="I115" s="21">
        <v>7100</v>
      </c>
      <c r="J115" s="21">
        <v>7100</v>
      </c>
      <c r="K115" s="21">
        <v>7100</v>
      </c>
      <c r="L115" s="21">
        <v>7100</v>
      </c>
      <c r="M115" s="21">
        <v>7100</v>
      </c>
      <c r="N115" s="22">
        <v>7100</v>
      </c>
      <c r="O115" s="60" t="s">
        <v>85</v>
      </c>
      <c r="P115" s="61">
        <f>SUM(C115:N115)</f>
        <v>85200</v>
      </c>
    </row>
    <row r="116" spans="2:16" x14ac:dyDescent="0.25">
      <c r="B116" s="31" t="s">
        <v>86</v>
      </c>
      <c r="C116" s="31">
        <f t="shared" ref="C116:N116" si="55">C115*20%</f>
        <v>1420</v>
      </c>
      <c r="D116" s="31">
        <f t="shared" si="55"/>
        <v>1420</v>
      </c>
      <c r="E116" s="31">
        <f t="shared" si="55"/>
        <v>1420</v>
      </c>
      <c r="F116" s="31">
        <f t="shared" si="55"/>
        <v>1420</v>
      </c>
      <c r="G116" s="31">
        <f t="shared" si="55"/>
        <v>1420</v>
      </c>
      <c r="H116" s="31">
        <f t="shared" si="55"/>
        <v>1420</v>
      </c>
      <c r="I116" s="31">
        <f t="shared" si="55"/>
        <v>1420</v>
      </c>
      <c r="J116" s="31">
        <f t="shared" si="55"/>
        <v>1420</v>
      </c>
      <c r="K116" s="31">
        <f t="shared" si="55"/>
        <v>1420</v>
      </c>
      <c r="L116" s="31">
        <f t="shared" si="55"/>
        <v>1420</v>
      </c>
      <c r="M116" s="31">
        <f t="shared" si="55"/>
        <v>1420</v>
      </c>
      <c r="N116" s="32">
        <f t="shared" si="55"/>
        <v>1420</v>
      </c>
      <c r="O116" s="114"/>
      <c r="P116" s="138"/>
    </row>
    <row r="117" spans="2:16" x14ac:dyDescent="0.25">
      <c r="B117" s="142" t="s">
        <v>223</v>
      </c>
      <c r="C117" s="21">
        <f t="shared" ref="C117:N117" si="56">$P$117/12</f>
        <v>308.03571428571428</v>
      </c>
      <c r="D117" s="21">
        <f t="shared" si="56"/>
        <v>308.03571428571428</v>
      </c>
      <c r="E117" s="21">
        <f t="shared" si="56"/>
        <v>308.03571428571428</v>
      </c>
      <c r="F117" s="21">
        <f t="shared" si="56"/>
        <v>308.03571428571428</v>
      </c>
      <c r="G117" s="21">
        <f t="shared" si="56"/>
        <v>308.03571428571428</v>
      </c>
      <c r="H117" s="21">
        <f t="shared" si="56"/>
        <v>308.03571428571428</v>
      </c>
      <c r="I117" s="21">
        <f t="shared" si="56"/>
        <v>308.03571428571428</v>
      </c>
      <c r="J117" s="21">
        <f t="shared" si="56"/>
        <v>308.03571428571428</v>
      </c>
      <c r="K117" s="21">
        <f t="shared" si="56"/>
        <v>308.03571428571428</v>
      </c>
      <c r="L117" s="21">
        <f t="shared" si="56"/>
        <v>308.03571428571428</v>
      </c>
      <c r="M117" s="21">
        <f t="shared" si="56"/>
        <v>308.03571428571428</v>
      </c>
      <c r="N117" s="21">
        <f t="shared" si="56"/>
        <v>308.03571428571428</v>
      </c>
      <c r="O117" s="61" t="s">
        <v>224</v>
      </c>
      <c r="P117" s="193">
        <f>Emprunt!S5</f>
        <v>3696.4285714285711</v>
      </c>
    </row>
    <row r="118" spans="2:16" x14ac:dyDescent="0.25">
      <c r="B118" s="34" t="s">
        <v>229</v>
      </c>
      <c r="C118" s="21"/>
      <c r="D118" s="21"/>
      <c r="E118" s="21"/>
      <c r="F118" s="21"/>
      <c r="G118" s="21"/>
      <c r="H118" s="21">
        <f t="shared" ref="H118:N118" si="57">$P$118/7</f>
        <v>162.91666666666669</v>
      </c>
      <c r="I118" s="21">
        <f t="shared" si="57"/>
        <v>162.91666666666669</v>
      </c>
      <c r="J118" s="21">
        <f t="shared" si="57"/>
        <v>162.91666666666669</v>
      </c>
      <c r="K118" s="21">
        <f t="shared" si="57"/>
        <v>162.91666666666669</v>
      </c>
      <c r="L118" s="21">
        <f t="shared" si="57"/>
        <v>162.91666666666669</v>
      </c>
      <c r="M118" s="21">
        <f t="shared" si="57"/>
        <v>162.91666666666669</v>
      </c>
      <c r="N118" s="21">
        <f t="shared" si="57"/>
        <v>162.91666666666669</v>
      </c>
      <c r="O118" s="61" t="s">
        <v>230</v>
      </c>
      <c r="P118" s="193">
        <f>Emprunt!S14</f>
        <v>1140.4166666666667</v>
      </c>
    </row>
    <row r="119" spans="2:16" x14ac:dyDescent="0.25">
      <c r="B119" s="171" t="s">
        <v>232</v>
      </c>
      <c r="C119" s="171"/>
      <c r="D119" s="171"/>
      <c r="E119" s="171"/>
      <c r="F119" s="171"/>
      <c r="G119" s="171"/>
      <c r="H119" s="171">
        <f>H118*0.2</f>
        <v>32.583333333333336</v>
      </c>
      <c r="I119" s="171">
        <f t="shared" ref="I119:N119" si="58">I118*0.2</f>
        <v>32.583333333333336</v>
      </c>
      <c r="J119" s="171">
        <f t="shared" si="58"/>
        <v>32.583333333333336</v>
      </c>
      <c r="K119" s="171">
        <f t="shared" si="58"/>
        <v>32.583333333333336</v>
      </c>
      <c r="L119" s="171">
        <f t="shared" si="58"/>
        <v>32.583333333333336</v>
      </c>
      <c r="M119" s="171">
        <f t="shared" si="58"/>
        <v>32.583333333333336</v>
      </c>
      <c r="N119" s="171">
        <f t="shared" si="58"/>
        <v>32.583333333333336</v>
      </c>
      <c r="O119" s="140"/>
      <c r="P119" s="141"/>
    </row>
    <row r="120" spans="2:16" x14ac:dyDescent="0.25">
      <c r="B120" s="139" t="s">
        <v>87</v>
      </c>
      <c r="C120" s="139">
        <f t="shared" ref="C120:N120" si="59">SUM(C115:C119)</f>
        <v>8828.0357142857138</v>
      </c>
      <c r="D120" s="139">
        <f t="shared" si="59"/>
        <v>8828.0357142857138</v>
      </c>
      <c r="E120" s="139">
        <f t="shared" si="59"/>
        <v>8828.0357142857138</v>
      </c>
      <c r="F120" s="139">
        <f t="shared" si="59"/>
        <v>8828.0357142857138</v>
      </c>
      <c r="G120" s="139">
        <f t="shared" si="59"/>
        <v>8828.0357142857138</v>
      </c>
      <c r="H120" s="139">
        <f t="shared" si="59"/>
        <v>9023.5357142857138</v>
      </c>
      <c r="I120" s="139">
        <f t="shared" si="59"/>
        <v>9023.5357142857138</v>
      </c>
      <c r="J120" s="139">
        <f t="shared" si="59"/>
        <v>9023.5357142857138</v>
      </c>
      <c r="K120" s="139">
        <f t="shared" si="59"/>
        <v>9023.5357142857138</v>
      </c>
      <c r="L120" s="139">
        <f t="shared" si="59"/>
        <v>9023.5357142857138</v>
      </c>
      <c r="M120" s="139">
        <f t="shared" si="59"/>
        <v>9023.5357142857138</v>
      </c>
      <c r="N120" s="139">
        <f t="shared" si="59"/>
        <v>9023.5357142857138</v>
      </c>
      <c r="O120" s="37"/>
      <c r="P120" s="37"/>
    </row>
    <row r="121" spans="2:16" x14ac:dyDescent="0.25">
      <c r="B121" s="59" t="s">
        <v>81</v>
      </c>
      <c r="C121" s="59">
        <f t="shared" ref="C121:N121" si="60">C120</f>
        <v>8828.0357142857138</v>
      </c>
      <c r="D121" s="59">
        <f t="shared" si="60"/>
        <v>8828.0357142857138</v>
      </c>
      <c r="E121" s="59">
        <f t="shared" si="60"/>
        <v>8828.0357142857138</v>
      </c>
      <c r="F121" s="59">
        <f t="shared" si="60"/>
        <v>8828.0357142857138</v>
      </c>
      <c r="G121" s="59">
        <f t="shared" si="60"/>
        <v>8828.0357142857138</v>
      </c>
      <c r="H121" s="59">
        <f t="shared" si="60"/>
        <v>9023.5357142857138</v>
      </c>
      <c r="I121" s="59">
        <f t="shared" si="60"/>
        <v>9023.5357142857138</v>
      </c>
      <c r="J121" s="59">
        <f t="shared" si="60"/>
        <v>9023.5357142857138</v>
      </c>
      <c r="K121" s="59">
        <f t="shared" si="60"/>
        <v>9023.5357142857138</v>
      </c>
      <c r="L121" s="59">
        <f t="shared" si="60"/>
        <v>9023.5357142857138</v>
      </c>
      <c r="M121" s="59">
        <f t="shared" si="60"/>
        <v>9023.5357142857138</v>
      </c>
      <c r="N121" s="59">
        <f t="shared" si="60"/>
        <v>9023.5357142857138</v>
      </c>
      <c r="O121" s="47"/>
      <c r="P121" s="34"/>
    </row>
    <row r="122" spans="2:16" x14ac:dyDescent="0.25">
      <c r="B122" s="28" t="s">
        <v>89</v>
      </c>
      <c r="C122" s="21"/>
      <c r="D122" s="21"/>
      <c r="E122" s="21"/>
      <c r="F122" s="21"/>
      <c r="G122" s="21"/>
      <c r="H122" s="21"/>
      <c r="I122" s="21"/>
      <c r="J122" s="21"/>
      <c r="K122" s="21"/>
      <c r="L122" s="21"/>
      <c r="M122" s="21"/>
      <c r="N122" s="22">
        <v>7500</v>
      </c>
      <c r="O122" s="47"/>
      <c r="P122" s="48"/>
    </row>
    <row r="123" spans="2:16" x14ac:dyDescent="0.25">
      <c r="B123" s="59" t="s">
        <v>94</v>
      </c>
      <c r="C123" s="59">
        <f>C122</f>
        <v>0</v>
      </c>
      <c r="D123" s="59">
        <f t="shared" ref="D123:N123" si="61">D122</f>
        <v>0</v>
      </c>
      <c r="E123" s="59">
        <f t="shared" si="61"/>
        <v>0</v>
      </c>
      <c r="F123" s="59">
        <f t="shared" si="61"/>
        <v>0</v>
      </c>
      <c r="G123" s="59">
        <f t="shared" si="61"/>
        <v>0</v>
      </c>
      <c r="H123" s="59">
        <f t="shared" si="61"/>
        <v>0</v>
      </c>
      <c r="I123" s="59">
        <f t="shared" si="61"/>
        <v>0</v>
      </c>
      <c r="J123" s="59">
        <f t="shared" si="61"/>
        <v>0</v>
      </c>
      <c r="K123" s="59">
        <f t="shared" si="61"/>
        <v>0</v>
      </c>
      <c r="L123" s="59">
        <f t="shared" si="61"/>
        <v>0</v>
      </c>
      <c r="M123" s="59">
        <f t="shared" si="61"/>
        <v>0</v>
      </c>
      <c r="N123" s="59">
        <f t="shared" si="61"/>
        <v>7500</v>
      </c>
      <c r="O123" s="60" t="s">
        <v>93</v>
      </c>
      <c r="P123" s="61">
        <f>SUM(C123:N123)</f>
        <v>7500</v>
      </c>
    </row>
    <row r="124" spans="2:16" x14ac:dyDescent="0.25">
      <c r="B124" s="21" t="s">
        <v>95</v>
      </c>
      <c r="C124" s="21">
        <f t="shared" ref="C124:N124" si="62">307500/12</f>
        <v>25625</v>
      </c>
      <c r="D124" s="21">
        <f t="shared" si="62"/>
        <v>25625</v>
      </c>
      <c r="E124" s="21">
        <f t="shared" si="62"/>
        <v>25625</v>
      </c>
      <c r="F124" s="21">
        <f t="shared" si="62"/>
        <v>25625</v>
      </c>
      <c r="G124" s="21">
        <f t="shared" si="62"/>
        <v>25625</v>
      </c>
      <c r="H124" s="21">
        <f t="shared" si="62"/>
        <v>25625</v>
      </c>
      <c r="I124" s="21">
        <f t="shared" si="62"/>
        <v>25625</v>
      </c>
      <c r="J124" s="21">
        <f t="shared" si="62"/>
        <v>25625</v>
      </c>
      <c r="K124" s="21">
        <f t="shared" si="62"/>
        <v>25625</v>
      </c>
      <c r="L124" s="21">
        <f t="shared" si="62"/>
        <v>25625</v>
      </c>
      <c r="M124" s="21">
        <f t="shared" si="62"/>
        <v>25625</v>
      </c>
      <c r="N124" s="22">
        <f t="shared" si="62"/>
        <v>25625</v>
      </c>
      <c r="O124" s="47"/>
      <c r="P124" s="48"/>
    </row>
    <row r="125" spans="2:16" x14ac:dyDescent="0.25">
      <c r="B125" s="59" t="s">
        <v>96</v>
      </c>
      <c r="C125" s="59">
        <f t="shared" ref="C125:N125" si="63">C124</f>
        <v>25625</v>
      </c>
      <c r="D125" s="59">
        <f t="shared" si="63"/>
        <v>25625</v>
      </c>
      <c r="E125" s="59">
        <f t="shared" si="63"/>
        <v>25625</v>
      </c>
      <c r="F125" s="59">
        <f t="shared" si="63"/>
        <v>25625</v>
      </c>
      <c r="G125" s="59">
        <f t="shared" si="63"/>
        <v>25625</v>
      </c>
      <c r="H125" s="59">
        <f t="shared" si="63"/>
        <v>25625</v>
      </c>
      <c r="I125" s="59">
        <f t="shared" si="63"/>
        <v>25625</v>
      </c>
      <c r="J125" s="59">
        <f t="shared" si="63"/>
        <v>25625</v>
      </c>
      <c r="K125" s="59">
        <f t="shared" si="63"/>
        <v>25625</v>
      </c>
      <c r="L125" s="59">
        <f t="shared" si="63"/>
        <v>25625</v>
      </c>
      <c r="M125" s="59">
        <f t="shared" si="63"/>
        <v>25625</v>
      </c>
      <c r="N125" s="59">
        <f t="shared" si="63"/>
        <v>25625</v>
      </c>
      <c r="O125" s="60" t="s">
        <v>97</v>
      </c>
      <c r="P125" s="61">
        <f>SUM(C125:N125)</f>
        <v>307500</v>
      </c>
    </row>
    <row r="126" spans="2:16" x14ac:dyDescent="0.25">
      <c r="B126" s="21" t="s">
        <v>21</v>
      </c>
      <c r="C126" s="21">
        <f t="shared" ref="C126:N126" si="64">C124*0.4</f>
        <v>10250</v>
      </c>
      <c r="D126" s="21">
        <f t="shared" si="64"/>
        <v>10250</v>
      </c>
      <c r="E126" s="21">
        <f t="shared" si="64"/>
        <v>10250</v>
      </c>
      <c r="F126" s="21">
        <f t="shared" si="64"/>
        <v>10250</v>
      </c>
      <c r="G126" s="21">
        <f t="shared" si="64"/>
        <v>10250</v>
      </c>
      <c r="H126" s="21">
        <f t="shared" si="64"/>
        <v>10250</v>
      </c>
      <c r="I126" s="21">
        <f t="shared" si="64"/>
        <v>10250</v>
      </c>
      <c r="J126" s="21">
        <f t="shared" si="64"/>
        <v>10250</v>
      </c>
      <c r="K126" s="21">
        <f t="shared" si="64"/>
        <v>10250</v>
      </c>
      <c r="L126" s="21">
        <f t="shared" si="64"/>
        <v>10250</v>
      </c>
      <c r="M126" s="21">
        <f t="shared" si="64"/>
        <v>10250</v>
      </c>
      <c r="N126" s="22">
        <f t="shared" si="64"/>
        <v>10250</v>
      </c>
      <c r="O126" s="60" t="s">
        <v>98</v>
      </c>
      <c r="P126" s="61">
        <f>SUM(C126:N126)</f>
        <v>123000</v>
      </c>
    </row>
    <row r="127" spans="2:16" x14ac:dyDescent="0.25">
      <c r="B127" s="59" t="s">
        <v>99</v>
      </c>
      <c r="C127" s="59">
        <f>'Budget Prev 3 années SANS PRECO'!P121</f>
        <v>10250</v>
      </c>
      <c r="D127" s="59">
        <f t="shared" ref="D127:N127" si="65">C126</f>
        <v>10250</v>
      </c>
      <c r="E127" s="59">
        <f t="shared" si="65"/>
        <v>10250</v>
      </c>
      <c r="F127" s="59">
        <f t="shared" si="65"/>
        <v>10250</v>
      </c>
      <c r="G127" s="59">
        <f t="shared" si="65"/>
        <v>10250</v>
      </c>
      <c r="H127" s="59">
        <f t="shared" si="65"/>
        <v>10250</v>
      </c>
      <c r="I127" s="59">
        <f t="shared" si="65"/>
        <v>10250</v>
      </c>
      <c r="J127" s="59">
        <f t="shared" si="65"/>
        <v>10250</v>
      </c>
      <c r="K127" s="59">
        <f t="shared" si="65"/>
        <v>10250</v>
      </c>
      <c r="L127" s="59">
        <f t="shared" si="65"/>
        <v>10250</v>
      </c>
      <c r="M127" s="59">
        <f t="shared" si="65"/>
        <v>10250</v>
      </c>
      <c r="N127" s="59">
        <f t="shared" si="65"/>
        <v>10250</v>
      </c>
      <c r="O127" s="60" t="s">
        <v>100</v>
      </c>
      <c r="P127" s="61">
        <f>N126</f>
        <v>10250</v>
      </c>
    </row>
    <row r="130" spans="2:16" x14ac:dyDescent="0.25">
      <c r="B130" s="288" t="s">
        <v>147</v>
      </c>
      <c r="C130" s="288"/>
      <c r="D130" s="288"/>
      <c r="E130" s="288"/>
      <c r="F130" s="288"/>
      <c r="G130" s="288"/>
      <c r="H130" s="288"/>
      <c r="I130" s="288"/>
      <c r="J130" s="288"/>
      <c r="K130" s="288"/>
      <c r="L130" s="288"/>
      <c r="M130" s="288"/>
      <c r="N130" s="288"/>
      <c r="O130" s="288"/>
      <c r="P130" s="288"/>
    </row>
    <row r="131" spans="2:16" x14ac:dyDescent="0.25">
      <c r="B131" s="213"/>
      <c r="C131" s="215" t="s">
        <v>50</v>
      </c>
      <c r="D131" s="215" t="s">
        <v>51</v>
      </c>
      <c r="E131" s="215" t="s">
        <v>52</v>
      </c>
      <c r="F131" s="215" t="s">
        <v>53</v>
      </c>
      <c r="G131" s="215" t="s">
        <v>54</v>
      </c>
      <c r="H131" s="215" t="s">
        <v>55</v>
      </c>
      <c r="I131" s="215" t="s">
        <v>56</v>
      </c>
      <c r="J131" s="215" t="s">
        <v>57</v>
      </c>
      <c r="K131" s="215" t="s">
        <v>58</v>
      </c>
      <c r="L131" s="215" t="s">
        <v>59</v>
      </c>
      <c r="M131" s="215" t="s">
        <v>60</v>
      </c>
      <c r="N131" s="215" t="s">
        <v>61</v>
      </c>
      <c r="O131" s="220" t="s">
        <v>62</v>
      </c>
      <c r="P131" s="221"/>
    </row>
    <row r="132" spans="2:16" x14ac:dyDescent="0.25">
      <c r="B132" s="214"/>
      <c r="C132" s="216"/>
      <c r="D132" s="216"/>
      <c r="E132" s="216"/>
      <c r="F132" s="216"/>
      <c r="G132" s="216"/>
      <c r="H132" s="216"/>
      <c r="I132" s="216"/>
      <c r="J132" s="216"/>
      <c r="K132" s="216"/>
      <c r="L132" s="216"/>
      <c r="M132" s="216"/>
      <c r="N132" s="216"/>
      <c r="O132" s="58" t="s">
        <v>64</v>
      </c>
      <c r="P132" s="58" t="s">
        <v>65</v>
      </c>
    </row>
    <row r="133" spans="2:16" x14ac:dyDescent="0.25">
      <c r="B133" s="46" t="s">
        <v>102</v>
      </c>
      <c r="C133" s="34"/>
      <c r="D133" s="34"/>
      <c r="E133" s="34"/>
      <c r="F133" s="34"/>
      <c r="G133" s="34"/>
      <c r="H133" s="34"/>
      <c r="I133" s="34"/>
      <c r="J133" s="34"/>
      <c r="K133" s="34"/>
      <c r="L133" s="34">
        <v>8200</v>
      </c>
      <c r="M133" s="34"/>
      <c r="N133" s="34"/>
      <c r="O133" s="60" t="s">
        <v>103</v>
      </c>
      <c r="P133" s="61">
        <f>SUM(C133:N133)</f>
        <v>8200</v>
      </c>
    </row>
    <row r="134" spans="2:16" x14ac:dyDescent="0.25">
      <c r="B134" s="119" t="s">
        <v>105</v>
      </c>
      <c r="C134" s="119"/>
      <c r="D134" s="119"/>
      <c r="E134" s="119"/>
      <c r="F134" s="119"/>
      <c r="G134" s="119"/>
      <c r="H134" s="119"/>
      <c r="I134" s="119"/>
      <c r="J134" s="119"/>
      <c r="K134" s="119"/>
      <c r="L134" s="119">
        <v>8200</v>
      </c>
      <c r="M134" s="119"/>
      <c r="N134" s="119"/>
      <c r="O134" s="34"/>
      <c r="P134" s="34"/>
    </row>
    <row r="135" spans="2:16" x14ac:dyDescent="0.25">
      <c r="B135" s="34" t="s">
        <v>106</v>
      </c>
      <c r="C135" s="34">
        <f>Informations!$D14/12</f>
        <v>233.33333333333337</v>
      </c>
      <c r="D135" s="34">
        <f>Informations!$D14/12</f>
        <v>233.33333333333337</v>
      </c>
      <c r="E135" s="34">
        <f>Informations!$D14/12</f>
        <v>233.33333333333337</v>
      </c>
      <c r="F135" s="34">
        <f>Informations!$D14/12</f>
        <v>233.33333333333337</v>
      </c>
      <c r="G135" s="34">
        <f>Informations!$D14/12</f>
        <v>233.33333333333337</v>
      </c>
      <c r="H135" s="34">
        <f>Informations!$D14/12</f>
        <v>233.33333333333337</v>
      </c>
      <c r="I135" s="34">
        <f>Informations!$D14/12</f>
        <v>233.33333333333337</v>
      </c>
      <c r="J135" s="34">
        <f>Informations!$D14/12</f>
        <v>233.33333333333337</v>
      </c>
      <c r="K135" s="34">
        <f>Informations!$D14/12</f>
        <v>233.33333333333337</v>
      </c>
      <c r="L135" s="34">
        <f>Informations!$D14/12</f>
        <v>233.33333333333337</v>
      </c>
      <c r="M135" s="34">
        <f>Informations!$D14/12</f>
        <v>233.33333333333337</v>
      </c>
      <c r="N135" s="34">
        <f>Informations!$D14/12</f>
        <v>233.33333333333337</v>
      </c>
      <c r="O135" s="60" t="s">
        <v>107</v>
      </c>
      <c r="P135" s="61">
        <f>SUM(C135:N135)</f>
        <v>2800.0000000000014</v>
      </c>
    </row>
    <row r="136" spans="2:16" x14ac:dyDescent="0.25">
      <c r="B136" s="34" t="s">
        <v>108</v>
      </c>
      <c r="C136" s="34">
        <f t="shared" ref="C136:N136" si="66">$P$43/12</f>
        <v>3333.3333333333335</v>
      </c>
      <c r="D136" s="34">
        <f t="shared" si="66"/>
        <v>3333.3333333333335</v>
      </c>
      <c r="E136" s="34">
        <f t="shared" si="66"/>
        <v>3333.3333333333335</v>
      </c>
      <c r="F136" s="34">
        <f t="shared" si="66"/>
        <v>3333.3333333333335</v>
      </c>
      <c r="G136" s="34">
        <f t="shared" si="66"/>
        <v>3333.3333333333335</v>
      </c>
      <c r="H136" s="34">
        <f t="shared" si="66"/>
        <v>3333.3333333333335</v>
      </c>
      <c r="I136" s="34">
        <f t="shared" si="66"/>
        <v>3333.3333333333335</v>
      </c>
      <c r="J136" s="34">
        <f t="shared" si="66"/>
        <v>3333.3333333333335</v>
      </c>
      <c r="K136" s="34">
        <f t="shared" si="66"/>
        <v>3333.3333333333335</v>
      </c>
      <c r="L136" s="34">
        <f t="shared" si="66"/>
        <v>3333.3333333333335</v>
      </c>
      <c r="M136" s="34">
        <f t="shared" si="66"/>
        <v>3333.3333333333335</v>
      </c>
      <c r="N136" s="34">
        <f t="shared" si="66"/>
        <v>3333.3333333333335</v>
      </c>
      <c r="O136" s="60" t="s">
        <v>109</v>
      </c>
      <c r="P136" s="61">
        <f>Informations!E14</f>
        <v>40000</v>
      </c>
    </row>
    <row r="137" spans="2:16" x14ac:dyDescent="0.25">
      <c r="B137" s="59" t="s">
        <v>71</v>
      </c>
      <c r="C137" s="59">
        <f t="shared" ref="C137:N137" si="67">C135+C136</f>
        <v>3566.666666666667</v>
      </c>
      <c r="D137" s="59">
        <f t="shared" si="67"/>
        <v>3566.666666666667</v>
      </c>
      <c r="E137" s="59">
        <f t="shared" si="67"/>
        <v>3566.666666666667</v>
      </c>
      <c r="F137" s="59">
        <f t="shared" si="67"/>
        <v>3566.666666666667</v>
      </c>
      <c r="G137" s="59">
        <f t="shared" si="67"/>
        <v>3566.666666666667</v>
      </c>
      <c r="H137" s="59">
        <f t="shared" si="67"/>
        <v>3566.666666666667</v>
      </c>
      <c r="I137" s="59">
        <f t="shared" si="67"/>
        <v>3566.666666666667</v>
      </c>
      <c r="J137" s="59">
        <f t="shared" si="67"/>
        <v>3566.666666666667</v>
      </c>
      <c r="K137" s="59">
        <f t="shared" si="67"/>
        <v>3566.666666666667</v>
      </c>
      <c r="L137" s="59">
        <f t="shared" si="67"/>
        <v>3566.666666666667</v>
      </c>
      <c r="M137" s="59">
        <f t="shared" si="67"/>
        <v>3566.666666666667</v>
      </c>
      <c r="N137" s="59">
        <f t="shared" si="67"/>
        <v>3566.666666666667</v>
      </c>
      <c r="O137" s="113"/>
      <c r="P137" s="113"/>
    </row>
    <row r="140" spans="2:16" x14ac:dyDescent="0.25">
      <c r="B140" s="288" t="s">
        <v>148</v>
      </c>
      <c r="C140" s="288"/>
      <c r="D140" s="288"/>
      <c r="E140" s="288"/>
      <c r="F140" s="288"/>
      <c r="G140" s="288"/>
      <c r="H140" s="288"/>
      <c r="I140" s="288"/>
      <c r="J140" s="288"/>
      <c r="K140" s="288"/>
      <c r="L140" s="288"/>
      <c r="M140" s="288"/>
      <c r="N140" s="288"/>
      <c r="O140" s="288"/>
      <c r="P140" s="288"/>
    </row>
    <row r="141" spans="2:16" x14ac:dyDescent="0.25">
      <c r="B141" s="213"/>
      <c r="C141" s="215" t="s">
        <v>50</v>
      </c>
      <c r="D141" s="215" t="s">
        <v>51</v>
      </c>
      <c r="E141" s="215" t="s">
        <v>52</v>
      </c>
      <c r="F141" s="215" t="s">
        <v>53</v>
      </c>
      <c r="G141" s="215" t="s">
        <v>54</v>
      </c>
      <c r="H141" s="215" t="s">
        <v>55</v>
      </c>
      <c r="I141" s="215" t="s">
        <v>56</v>
      </c>
      <c r="J141" s="215" t="s">
        <v>57</v>
      </c>
      <c r="K141" s="215" t="s">
        <v>58</v>
      </c>
      <c r="L141" s="215" t="s">
        <v>59</v>
      </c>
      <c r="M141" s="215" t="s">
        <v>60</v>
      </c>
      <c r="N141" s="215" t="s">
        <v>61</v>
      </c>
      <c r="O141" s="220" t="s">
        <v>62</v>
      </c>
      <c r="P141" s="221"/>
    </row>
    <row r="142" spans="2:16" x14ac:dyDescent="0.25">
      <c r="B142" s="214"/>
      <c r="C142" s="216"/>
      <c r="D142" s="216"/>
      <c r="E142" s="216"/>
      <c r="F142" s="216"/>
      <c r="G142" s="216"/>
      <c r="H142" s="216"/>
      <c r="I142" s="216"/>
      <c r="J142" s="216"/>
      <c r="K142" s="216"/>
      <c r="L142" s="216"/>
      <c r="M142" s="216"/>
      <c r="N142" s="216"/>
      <c r="O142" s="58" t="s">
        <v>64</v>
      </c>
      <c r="P142" s="58" t="s">
        <v>65</v>
      </c>
    </row>
    <row r="143" spans="2:16" x14ac:dyDescent="0.25">
      <c r="B143" s="34" t="s">
        <v>111</v>
      </c>
      <c r="C143" s="34"/>
      <c r="D143" s="34"/>
      <c r="E143" s="34"/>
      <c r="F143" s="34"/>
      <c r="G143" s="34"/>
      <c r="H143" s="34"/>
      <c r="I143" s="34"/>
      <c r="J143" s="34"/>
      <c r="K143" s="34"/>
      <c r="L143" s="34"/>
      <c r="M143" s="34"/>
      <c r="N143" s="34"/>
      <c r="O143" s="60" t="s">
        <v>112</v>
      </c>
      <c r="P143" s="61">
        <f>SUM(C143:N143)</f>
        <v>0</v>
      </c>
    </row>
    <row r="144" spans="2:16" x14ac:dyDescent="0.25">
      <c r="B144" s="34" t="s">
        <v>113</v>
      </c>
      <c r="C144" s="34">
        <f t="shared" ref="C144:N144" si="68">C143*20%</f>
        <v>0</v>
      </c>
      <c r="D144" s="34">
        <f t="shared" si="68"/>
        <v>0</v>
      </c>
      <c r="E144" s="34">
        <f t="shared" si="68"/>
        <v>0</v>
      </c>
      <c r="F144" s="34">
        <f t="shared" si="68"/>
        <v>0</v>
      </c>
      <c r="G144" s="34">
        <f t="shared" si="68"/>
        <v>0</v>
      </c>
      <c r="H144" s="34">
        <f t="shared" si="68"/>
        <v>0</v>
      </c>
      <c r="I144" s="34">
        <f t="shared" si="68"/>
        <v>0</v>
      </c>
      <c r="J144" s="34">
        <f t="shared" si="68"/>
        <v>0</v>
      </c>
      <c r="K144" s="34">
        <f t="shared" si="68"/>
        <v>0</v>
      </c>
      <c r="L144" s="34">
        <f t="shared" si="68"/>
        <v>0</v>
      </c>
      <c r="M144" s="34">
        <f t="shared" si="68"/>
        <v>0</v>
      </c>
      <c r="N144" s="34">
        <f t="shared" si="68"/>
        <v>0</v>
      </c>
      <c r="O144" s="34"/>
      <c r="P144" s="34"/>
    </row>
    <row r="145" spans="2:31" x14ac:dyDescent="0.25">
      <c r="B145" s="34" t="s">
        <v>114</v>
      </c>
      <c r="C145" s="34">
        <f t="shared" ref="C145:N145" si="69">C143+C144</f>
        <v>0</v>
      </c>
      <c r="D145" s="34">
        <f t="shared" si="69"/>
        <v>0</v>
      </c>
      <c r="E145" s="34">
        <f t="shared" si="69"/>
        <v>0</v>
      </c>
      <c r="F145" s="34">
        <f t="shared" si="69"/>
        <v>0</v>
      </c>
      <c r="G145" s="34">
        <f t="shared" si="69"/>
        <v>0</v>
      </c>
      <c r="H145" s="34">
        <f t="shared" si="69"/>
        <v>0</v>
      </c>
      <c r="I145" s="34">
        <f t="shared" si="69"/>
        <v>0</v>
      </c>
      <c r="J145" s="34">
        <f t="shared" si="69"/>
        <v>0</v>
      </c>
      <c r="K145" s="34">
        <f t="shared" si="69"/>
        <v>0</v>
      </c>
      <c r="L145" s="34">
        <f t="shared" si="69"/>
        <v>0</v>
      </c>
      <c r="M145" s="34">
        <f t="shared" si="69"/>
        <v>0</v>
      </c>
      <c r="N145" s="34">
        <f t="shared" si="69"/>
        <v>0</v>
      </c>
      <c r="O145" s="34"/>
      <c r="P145" s="34"/>
    </row>
    <row r="146" spans="2:31" x14ac:dyDescent="0.25">
      <c r="B146" s="59" t="s">
        <v>81</v>
      </c>
      <c r="C146" s="59">
        <f t="shared" ref="C146:N146" si="70">C145</f>
        <v>0</v>
      </c>
      <c r="D146" s="59">
        <f t="shared" si="70"/>
        <v>0</v>
      </c>
      <c r="E146" s="59">
        <f t="shared" si="70"/>
        <v>0</v>
      </c>
      <c r="F146" s="59">
        <f t="shared" si="70"/>
        <v>0</v>
      </c>
      <c r="G146" s="59">
        <f t="shared" si="70"/>
        <v>0</v>
      </c>
      <c r="H146" s="59">
        <f t="shared" si="70"/>
        <v>0</v>
      </c>
      <c r="I146" s="59">
        <f t="shared" si="70"/>
        <v>0</v>
      </c>
      <c r="J146" s="59">
        <f t="shared" si="70"/>
        <v>0</v>
      </c>
      <c r="K146" s="59">
        <f t="shared" si="70"/>
        <v>0</v>
      </c>
      <c r="L146" s="59">
        <f t="shared" si="70"/>
        <v>0</v>
      </c>
      <c r="M146" s="59">
        <f t="shared" si="70"/>
        <v>0</v>
      </c>
      <c r="N146" s="59">
        <f t="shared" si="70"/>
        <v>0</v>
      </c>
      <c r="O146" s="60" t="s">
        <v>220</v>
      </c>
      <c r="P146" s="61">
        <v>0</v>
      </c>
    </row>
    <row r="147" spans="2:31" x14ac:dyDescent="0.25">
      <c r="C147" s="20" t="s">
        <v>149</v>
      </c>
    </row>
    <row r="148" spans="2:31" x14ac:dyDescent="0.25">
      <c r="S148" s="283" t="s">
        <v>203</v>
      </c>
      <c r="T148" s="283" t="s">
        <v>50</v>
      </c>
      <c r="U148" s="283" t="s">
        <v>51</v>
      </c>
      <c r="V148" s="283" t="s">
        <v>52</v>
      </c>
      <c r="W148" s="283" t="s">
        <v>53</v>
      </c>
      <c r="X148" s="283" t="s">
        <v>54</v>
      </c>
      <c r="Y148" s="283" t="s">
        <v>55</v>
      </c>
      <c r="Z148" s="283" t="s">
        <v>56</v>
      </c>
      <c r="AA148" s="283" t="s">
        <v>57</v>
      </c>
      <c r="AB148" s="283" t="s">
        <v>58</v>
      </c>
      <c r="AC148" s="283" t="s">
        <v>59</v>
      </c>
      <c r="AD148" s="283" t="s">
        <v>60</v>
      </c>
      <c r="AE148" s="283" t="s">
        <v>61</v>
      </c>
    </row>
    <row r="149" spans="2:31" x14ac:dyDescent="0.25">
      <c r="B149" s="288" t="s">
        <v>150</v>
      </c>
      <c r="C149" s="288"/>
      <c r="D149" s="288"/>
      <c r="E149" s="288"/>
      <c r="F149" s="288"/>
      <c r="G149" s="288"/>
      <c r="H149" s="288"/>
      <c r="I149" s="288"/>
      <c r="J149" s="288"/>
      <c r="K149" s="288"/>
      <c r="L149" s="288"/>
      <c r="M149" s="288"/>
      <c r="N149" s="288"/>
      <c r="O149" s="288"/>
      <c r="P149" s="288"/>
      <c r="S149" s="283"/>
      <c r="T149" s="283"/>
      <c r="U149" s="283"/>
      <c r="V149" s="283"/>
      <c r="W149" s="283"/>
      <c r="X149" s="283"/>
      <c r="Y149" s="283"/>
      <c r="Z149" s="283"/>
      <c r="AA149" s="283"/>
      <c r="AB149" s="283"/>
      <c r="AC149" s="283"/>
      <c r="AD149" s="283"/>
      <c r="AE149" s="283"/>
    </row>
    <row r="150" spans="2:31" x14ac:dyDescent="0.25">
      <c r="B150" s="213"/>
      <c r="C150" s="215" t="s">
        <v>50</v>
      </c>
      <c r="D150" s="215" t="s">
        <v>51</v>
      </c>
      <c r="E150" s="215" t="s">
        <v>52</v>
      </c>
      <c r="F150" s="215" t="s">
        <v>53</v>
      </c>
      <c r="G150" s="215" t="s">
        <v>54</v>
      </c>
      <c r="H150" s="215" t="s">
        <v>55</v>
      </c>
      <c r="I150" s="215" t="s">
        <v>56</v>
      </c>
      <c r="J150" s="215" t="s">
        <v>57</v>
      </c>
      <c r="K150" s="215" t="s">
        <v>58</v>
      </c>
      <c r="L150" s="215" t="s">
        <v>59</v>
      </c>
      <c r="M150" s="215" t="s">
        <v>60</v>
      </c>
      <c r="N150" s="215" t="s">
        <v>61</v>
      </c>
      <c r="O150" s="220" t="s">
        <v>62</v>
      </c>
      <c r="P150" s="221"/>
      <c r="S150" s="59" t="s">
        <v>204</v>
      </c>
      <c r="T150" s="59">
        <f t="shared" ref="T150:AE150" si="71">C166</f>
        <v>6396.9359999999997</v>
      </c>
      <c r="U150" s="59">
        <f t="shared" si="71"/>
        <v>6491.4720000000007</v>
      </c>
      <c r="V150" s="59">
        <f t="shared" si="71"/>
        <v>6491.4720000000007</v>
      </c>
      <c r="W150" s="59">
        <f t="shared" si="71"/>
        <v>6491.4720000000007</v>
      </c>
      <c r="X150" s="59">
        <f t="shared" si="71"/>
        <v>6491.4720000000007</v>
      </c>
      <c r="Y150" s="59">
        <f t="shared" si="71"/>
        <v>6491.4720000000007</v>
      </c>
      <c r="Z150" s="59">
        <f t="shared" si="71"/>
        <v>6491.4720000000007</v>
      </c>
      <c r="AA150" s="59">
        <f t="shared" si="71"/>
        <v>6491.4720000000007</v>
      </c>
      <c r="AB150" s="59">
        <f t="shared" si="71"/>
        <v>6491.4720000000007</v>
      </c>
      <c r="AC150" s="59">
        <f t="shared" si="71"/>
        <v>6491.4720000000007</v>
      </c>
      <c r="AD150" s="59">
        <f t="shared" si="71"/>
        <v>6491.4720000000007</v>
      </c>
      <c r="AE150" s="59">
        <f t="shared" si="71"/>
        <v>6491.4720000000007</v>
      </c>
    </row>
    <row r="151" spans="2:31" x14ac:dyDescent="0.25">
      <c r="B151" s="214"/>
      <c r="C151" s="216"/>
      <c r="D151" s="216"/>
      <c r="E151" s="216"/>
      <c r="F151" s="216"/>
      <c r="G151" s="216"/>
      <c r="H151" s="216"/>
      <c r="I151" s="216"/>
      <c r="J151" s="216"/>
      <c r="K151" s="216"/>
      <c r="L151" s="216"/>
      <c r="M151" s="216"/>
      <c r="N151" s="216"/>
      <c r="O151" s="58" t="s">
        <v>64</v>
      </c>
      <c r="P151" s="58" t="s">
        <v>65</v>
      </c>
      <c r="S151" s="34" t="s">
        <v>205</v>
      </c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4"/>
      <c r="AE151" s="34"/>
    </row>
    <row r="152" spans="2:31" x14ac:dyDescent="0.25">
      <c r="B152" s="59" t="s">
        <v>68</v>
      </c>
      <c r="C152" s="59">
        <f t="shared" ref="C152:N152" si="72">C98</f>
        <v>1081.912</v>
      </c>
      <c r="D152" s="59">
        <f t="shared" si="72"/>
        <v>1081.912</v>
      </c>
      <c r="E152" s="59">
        <f t="shared" si="72"/>
        <v>1081.912</v>
      </c>
      <c r="F152" s="59">
        <f t="shared" si="72"/>
        <v>1081.912</v>
      </c>
      <c r="G152" s="59">
        <f t="shared" si="72"/>
        <v>1081.912</v>
      </c>
      <c r="H152" s="59">
        <f t="shared" si="72"/>
        <v>1081.912</v>
      </c>
      <c r="I152" s="59">
        <f t="shared" si="72"/>
        <v>1081.912</v>
      </c>
      <c r="J152" s="59">
        <f t="shared" si="72"/>
        <v>1081.912</v>
      </c>
      <c r="K152" s="59">
        <f t="shared" si="72"/>
        <v>1081.912</v>
      </c>
      <c r="L152" s="59">
        <f t="shared" si="72"/>
        <v>1081.912</v>
      </c>
      <c r="M152" s="59">
        <f t="shared" si="72"/>
        <v>1081.912</v>
      </c>
      <c r="N152" s="59">
        <f t="shared" si="72"/>
        <v>1081.912</v>
      </c>
      <c r="O152" s="34"/>
      <c r="P152" s="34"/>
      <c r="S152" s="34" t="s">
        <v>206</v>
      </c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4"/>
      <c r="AE152" s="34"/>
    </row>
    <row r="153" spans="2:31" x14ac:dyDescent="0.25">
      <c r="B153" s="34" t="s">
        <v>79</v>
      </c>
      <c r="C153" s="34">
        <f t="shared" ref="C153:N153" si="73">C107</f>
        <v>335.39272000000005</v>
      </c>
      <c r="D153" s="34">
        <f t="shared" si="73"/>
        <v>335.39272000000005</v>
      </c>
      <c r="E153" s="34">
        <f t="shared" si="73"/>
        <v>335.39272000000005</v>
      </c>
      <c r="F153" s="34">
        <f t="shared" si="73"/>
        <v>335.39272000000005</v>
      </c>
      <c r="G153" s="34">
        <f t="shared" si="73"/>
        <v>335.39272000000005</v>
      </c>
      <c r="H153" s="34">
        <f t="shared" si="73"/>
        <v>335.39272000000005</v>
      </c>
      <c r="I153" s="34">
        <f t="shared" si="73"/>
        <v>335.39272000000005</v>
      </c>
      <c r="J153" s="34">
        <f t="shared" si="73"/>
        <v>335.39272000000005</v>
      </c>
      <c r="K153" s="34">
        <f t="shared" si="73"/>
        <v>335.39272000000005</v>
      </c>
      <c r="L153" s="34">
        <f t="shared" si="73"/>
        <v>335.39272000000005</v>
      </c>
      <c r="M153" s="34">
        <f t="shared" si="73"/>
        <v>335.39272000000005</v>
      </c>
      <c r="N153" s="34">
        <f t="shared" si="73"/>
        <v>335.39272000000005</v>
      </c>
      <c r="O153" s="34"/>
      <c r="P153" s="34"/>
      <c r="S153" s="34" t="s">
        <v>207</v>
      </c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4"/>
      <c r="AE153" s="34"/>
    </row>
    <row r="154" spans="2:31" x14ac:dyDescent="0.25">
      <c r="B154" s="34" t="s">
        <v>86</v>
      </c>
      <c r="C154" s="34">
        <f t="shared" ref="C154:N154" si="74">C116+C119</f>
        <v>1420</v>
      </c>
      <c r="D154" s="34">
        <f t="shared" si="74"/>
        <v>1420</v>
      </c>
      <c r="E154" s="34">
        <f t="shared" si="74"/>
        <v>1420</v>
      </c>
      <c r="F154" s="34">
        <f t="shared" si="74"/>
        <v>1420</v>
      </c>
      <c r="G154" s="34">
        <f t="shared" si="74"/>
        <v>1420</v>
      </c>
      <c r="H154" s="34">
        <f t="shared" si="74"/>
        <v>1452.5833333333333</v>
      </c>
      <c r="I154" s="34">
        <f t="shared" si="74"/>
        <v>1452.5833333333333</v>
      </c>
      <c r="J154" s="34">
        <f t="shared" si="74"/>
        <v>1452.5833333333333</v>
      </c>
      <c r="K154" s="34">
        <f t="shared" si="74"/>
        <v>1452.5833333333333</v>
      </c>
      <c r="L154" s="34">
        <f t="shared" si="74"/>
        <v>1452.5833333333333</v>
      </c>
      <c r="M154" s="34">
        <f t="shared" si="74"/>
        <v>1452.5833333333333</v>
      </c>
      <c r="N154" s="34">
        <f t="shared" si="74"/>
        <v>1452.5833333333333</v>
      </c>
      <c r="O154" s="34"/>
      <c r="P154" s="34"/>
      <c r="S154" s="59" t="s">
        <v>210</v>
      </c>
      <c r="T154" s="59">
        <f t="shared" ref="T154:AE154" si="75">T150+T153</f>
        <v>6396.9359999999997</v>
      </c>
      <c r="U154" s="59">
        <f t="shared" si="75"/>
        <v>6491.4720000000007</v>
      </c>
      <c r="V154" s="59">
        <f t="shared" si="75"/>
        <v>6491.4720000000007</v>
      </c>
      <c r="W154" s="59">
        <f t="shared" si="75"/>
        <v>6491.4720000000007</v>
      </c>
      <c r="X154" s="59">
        <f t="shared" si="75"/>
        <v>6491.4720000000007</v>
      </c>
      <c r="Y154" s="59">
        <f t="shared" si="75"/>
        <v>6491.4720000000007</v>
      </c>
      <c r="Z154" s="59">
        <f t="shared" si="75"/>
        <v>6491.4720000000007</v>
      </c>
      <c r="AA154" s="59">
        <f t="shared" si="75"/>
        <v>6491.4720000000007</v>
      </c>
      <c r="AB154" s="59">
        <f t="shared" si="75"/>
        <v>6491.4720000000007</v>
      </c>
      <c r="AC154" s="59">
        <f t="shared" si="75"/>
        <v>6491.4720000000007</v>
      </c>
      <c r="AD154" s="59">
        <f t="shared" si="75"/>
        <v>6491.4720000000007</v>
      </c>
      <c r="AE154" s="59">
        <f t="shared" si="75"/>
        <v>6491.4720000000007</v>
      </c>
    </row>
    <row r="155" spans="2:31" x14ac:dyDescent="0.25">
      <c r="B155" s="59" t="s">
        <v>113</v>
      </c>
      <c r="C155" s="59">
        <f t="shared" ref="C155:N155" si="76">C144</f>
        <v>0</v>
      </c>
      <c r="D155" s="59">
        <f t="shared" si="76"/>
        <v>0</v>
      </c>
      <c r="E155" s="59">
        <f t="shared" si="76"/>
        <v>0</v>
      </c>
      <c r="F155" s="59">
        <f t="shared" si="76"/>
        <v>0</v>
      </c>
      <c r="G155" s="59">
        <f t="shared" si="76"/>
        <v>0</v>
      </c>
      <c r="H155" s="59">
        <f t="shared" si="76"/>
        <v>0</v>
      </c>
      <c r="I155" s="59">
        <f t="shared" si="76"/>
        <v>0</v>
      </c>
      <c r="J155" s="59">
        <f t="shared" si="76"/>
        <v>0</v>
      </c>
      <c r="K155" s="59">
        <f t="shared" si="76"/>
        <v>0</v>
      </c>
      <c r="L155" s="59">
        <f t="shared" si="76"/>
        <v>0</v>
      </c>
      <c r="M155" s="59">
        <f t="shared" si="76"/>
        <v>0</v>
      </c>
      <c r="N155" s="59">
        <f t="shared" si="76"/>
        <v>0</v>
      </c>
      <c r="O155" s="34"/>
      <c r="P155" s="34"/>
      <c r="S155" s="34" t="s">
        <v>211</v>
      </c>
      <c r="T155" s="34">
        <f t="shared" ref="T155:AE155" si="77">C176</f>
        <v>49597.338700952379</v>
      </c>
      <c r="U155" s="34">
        <f t="shared" si="77"/>
        <v>49608.577980952381</v>
      </c>
      <c r="V155" s="34">
        <f t="shared" si="77"/>
        <v>49608.577980952381</v>
      </c>
      <c r="W155" s="34">
        <f t="shared" si="77"/>
        <v>49608.577980952381</v>
      </c>
      <c r="X155" s="34">
        <f t="shared" si="77"/>
        <v>49608.577980952381</v>
      </c>
      <c r="Y155" s="34">
        <f t="shared" si="77"/>
        <v>49804.077980952381</v>
      </c>
      <c r="Z155" s="34">
        <f t="shared" si="77"/>
        <v>49771.494647619045</v>
      </c>
      <c r="AA155" s="34">
        <f t="shared" si="77"/>
        <v>49771.494647619045</v>
      </c>
      <c r="AB155" s="34">
        <f t="shared" si="77"/>
        <v>49771.494647619045</v>
      </c>
      <c r="AC155" s="34">
        <f t="shared" si="77"/>
        <v>57971.494647619045</v>
      </c>
      <c r="AD155" s="34">
        <f t="shared" si="77"/>
        <v>49771.494647619045</v>
      </c>
      <c r="AE155" s="34">
        <f t="shared" si="77"/>
        <v>49771.494647619045</v>
      </c>
    </row>
    <row r="156" spans="2:31" x14ac:dyDescent="0.25">
      <c r="B156" s="114" t="s">
        <v>117</v>
      </c>
      <c r="C156" s="115">
        <f t="shared" ref="C156:N156" si="78">C153+C154+C155</f>
        <v>1755.3927200000001</v>
      </c>
      <c r="D156" s="115">
        <f t="shared" si="78"/>
        <v>1755.3927200000001</v>
      </c>
      <c r="E156" s="115">
        <f t="shared" si="78"/>
        <v>1755.3927200000001</v>
      </c>
      <c r="F156" s="115">
        <f t="shared" si="78"/>
        <v>1755.3927200000001</v>
      </c>
      <c r="G156" s="115">
        <f t="shared" si="78"/>
        <v>1755.3927200000001</v>
      </c>
      <c r="H156" s="115">
        <f t="shared" si="78"/>
        <v>1787.9760533333333</v>
      </c>
      <c r="I156" s="115">
        <f t="shared" si="78"/>
        <v>1787.9760533333333</v>
      </c>
      <c r="J156" s="115">
        <f t="shared" si="78"/>
        <v>1787.9760533333333</v>
      </c>
      <c r="K156" s="115">
        <f t="shared" si="78"/>
        <v>1787.9760533333333</v>
      </c>
      <c r="L156" s="115">
        <f t="shared" si="78"/>
        <v>1787.9760533333333</v>
      </c>
      <c r="M156" s="115">
        <f t="shared" si="78"/>
        <v>1787.9760533333333</v>
      </c>
      <c r="N156" s="115">
        <f t="shared" si="78"/>
        <v>1787.9760533333333</v>
      </c>
      <c r="O156" s="34"/>
      <c r="P156" s="34"/>
      <c r="S156" s="34" t="s">
        <v>212</v>
      </c>
      <c r="T156" s="34"/>
      <c r="U156" s="34"/>
      <c r="V156" s="34"/>
      <c r="W156" s="34"/>
      <c r="X156" s="34"/>
      <c r="Y156" s="34"/>
      <c r="Z156" s="34">
        <f>Y153*0.07</f>
        <v>0</v>
      </c>
      <c r="AA156" s="34"/>
      <c r="AB156" s="34">
        <f>AA153*0.07</f>
        <v>0</v>
      </c>
      <c r="AC156" s="34">
        <f>AB153*0.07</f>
        <v>0</v>
      </c>
      <c r="AD156" s="34">
        <f>AC153*0.07</f>
        <v>0</v>
      </c>
      <c r="AE156" s="34">
        <f>AD153*0.07</f>
        <v>0</v>
      </c>
    </row>
    <row r="157" spans="2:31" x14ac:dyDescent="0.25">
      <c r="B157" s="116" t="s">
        <v>118</v>
      </c>
      <c r="C157" s="117">
        <f t="shared" ref="C157:N157" si="79">C152-C156</f>
        <v>-673.48072000000002</v>
      </c>
      <c r="D157" s="117">
        <f t="shared" si="79"/>
        <v>-673.48072000000002</v>
      </c>
      <c r="E157" s="117">
        <f t="shared" si="79"/>
        <v>-673.48072000000002</v>
      </c>
      <c r="F157" s="117">
        <f t="shared" si="79"/>
        <v>-673.48072000000002</v>
      </c>
      <c r="G157" s="117">
        <f t="shared" si="79"/>
        <v>-673.48072000000002</v>
      </c>
      <c r="H157" s="117">
        <f t="shared" si="79"/>
        <v>-706.06405333333328</v>
      </c>
      <c r="I157" s="117">
        <f t="shared" si="79"/>
        <v>-706.06405333333328</v>
      </c>
      <c r="J157" s="117">
        <f t="shared" si="79"/>
        <v>-706.06405333333328</v>
      </c>
      <c r="K157" s="117">
        <f t="shared" si="79"/>
        <v>-706.06405333333328</v>
      </c>
      <c r="L157" s="117">
        <f t="shared" si="79"/>
        <v>-706.06405333333328</v>
      </c>
      <c r="M157" s="117">
        <f t="shared" si="79"/>
        <v>-706.06405333333328</v>
      </c>
      <c r="N157" s="117">
        <f t="shared" si="79"/>
        <v>-706.06405333333328</v>
      </c>
      <c r="O157" s="34"/>
      <c r="P157" s="34"/>
      <c r="S157" s="59" t="s">
        <v>213</v>
      </c>
      <c r="T157" s="59">
        <f t="shared" ref="T157:AE157" si="80">T155+T156</f>
        <v>49597.338700952379</v>
      </c>
      <c r="U157" s="59">
        <f t="shared" si="80"/>
        <v>49608.577980952381</v>
      </c>
      <c r="V157" s="59">
        <f t="shared" si="80"/>
        <v>49608.577980952381</v>
      </c>
      <c r="W157" s="59">
        <f t="shared" si="80"/>
        <v>49608.577980952381</v>
      </c>
      <c r="X157" s="59">
        <f t="shared" si="80"/>
        <v>49608.577980952381</v>
      </c>
      <c r="Y157" s="59">
        <f t="shared" si="80"/>
        <v>49804.077980952381</v>
      </c>
      <c r="Z157" s="59">
        <f t="shared" si="80"/>
        <v>49771.494647619045</v>
      </c>
      <c r="AA157" s="59">
        <f t="shared" si="80"/>
        <v>49771.494647619045</v>
      </c>
      <c r="AB157" s="59">
        <f t="shared" si="80"/>
        <v>49771.494647619045</v>
      </c>
      <c r="AC157" s="59">
        <f t="shared" si="80"/>
        <v>57971.494647619045</v>
      </c>
      <c r="AD157" s="59">
        <f t="shared" si="80"/>
        <v>49771.494647619045</v>
      </c>
      <c r="AE157" s="59">
        <f t="shared" si="80"/>
        <v>49771.494647619045</v>
      </c>
    </row>
    <row r="158" spans="2:31" x14ac:dyDescent="0.25">
      <c r="B158" s="59" t="s">
        <v>81</v>
      </c>
      <c r="C158" s="59">
        <f>P66</f>
        <v>-684.7199999999998</v>
      </c>
      <c r="D158" s="59">
        <f t="shared" ref="D158:N158" si="81">C157</f>
        <v>-673.48072000000002</v>
      </c>
      <c r="E158" s="59">
        <f t="shared" si="81"/>
        <v>-673.48072000000002</v>
      </c>
      <c r="F158" s="59">
        <f t="shared" si="81"/>
        <v>-673.48072000000002</v>
      </c>
      <c r="G158" s="59">
        <f t="shared" si="81"/>
        <v>-673.48072000000002</v>
      </c>
      <c r="H158" s="59">
        <f t="shared" si="81"/>
        <v>-673.48072000000002</v>
      </c>
      <c r="I158" s="59">
        <f t="shared" si="81"/>
        <v>-706.06405333333328</v>
      </c>
      <c r="J158" s="59">
        <f t="shared" si="81"/>
        <v>-706.06405333333328</v>
      </c>
      <c r="K158" s="59">
        <f t="shared" si="81"/>
        <v>-706.06405333333328</v>
      </c>
      <c r="L158" s="59">
        <f t="shared" si="81"/>
        <v>-706.06405333333328</v>
      </c>
      <c r="M158" s="59">
        <f t="shared" si="81"/>
        <v>-706.06405333333328</v>
      </c>
      <c r="N158" s="59">
        <f t="shared" si="81"/>
        <v>-706.06405333333328</v>
      </c>
      <c r="O158" s="60" t="s">
        <v>119</v>
      </c>
      <c r="P158" s="61">
        <f>N157</f>
        <v>-706.06405333333328</v>
      </c>
      <c r="S158" s="34" t="s">
        <v>132</v>
      </c>
      <c r="T158" s="34">
        <f>AE60</f>
        <v>-464415.54857142846</v>
      </c>
      <c r="U158" s="34">
        <f t="shared" ref="U158:AE158" si="82">T160</f>
        <v>-507615.95127238083</v>
      </c>
      <c r="V158" s="34">
        <f t="shared" si="82"/>
        <v>-550733.05725333316</v>
      </c>
      <c r="W158" s="34">
        <f t="shared" si="82"/>
        <v>-593850.16323428554</v>
      </c>
      <c r="X158" s="34">
        <f t="shared" si="82"/>
        <v>-636967.26921523793</v>
      </c>
      <c r="Y158" s="34">
        <f t="shared" si="82"/>
        <v>-680084.37519619032</v>
      </c>
      <c r="Z158" s="34">
        <f t="shared" si="82"/>
        <v>-723396.9811771427</v>
      </c>
      <c r="AA158" s="34">
        <f t="shared" si="82"/>
        <v>-766677.00382476172</v>
      </c>
      <c r="AB158" s="34">
        <f t="shared" si="82"/>
        <v>-809957.02647238073</v>
      </c>
      <c r="AC158" s="34">
        <f t="shared" si="82"/>
        <v>-853237.04911999975</v>
      </c>
      <c r="AD158" s="34">
        <f t="shared" si="82"/>
        <v>-904717.07176761876</v>
      </c>
      <c r="AE158" s="34">
        <f t="shared" si="82"/>
        <v>-947997.09441523778</v>
      </c>
    </row>
    <row r="159" spans="2:31" x14ac:dyDescent="0.25">
      <c r="S159" s="34" t="s">
        <v>133</v>
      </c>
      <c r="T159" s="34">
        <f t="shared" ref="T159:AE159" si="83">T154-T157</f>
        <v>-43200.402700952378</v>
      </c>
      <c r="U159" s="34">
        <f t="shared" si="83"/>
        <v>-43117.105980952379</v>
      </c>
      <c r="V159" s="34">
        <f t="shared" si="83"/>
        <v>-43117.105980952379</v>
      </c>
      <c r="W159" s="34">
        <f t="shared" si="83"/>
        <v>-43117.105980952379</v>
      </c>
      <c r="X159" s="34">
        <f t="shared" si="83"/>
        <v>-43117.105980952379</v>
      </c>
      <c r="Y159" s="34">
        <f t="shared" si="83"/>
        <v>-43312.605980952379</v>
      </c>
      <c r="Z159" s="34">
        <f t="shared" si="83"/>
        <v>-43280.022647619044</v>
      </c>
      <c r="AA159" s="34">
        <f t="shared" si="83"/>
        <v>-43280.022647619044</v>
      </c>
      <c r="AB159" s="34">
        <f t="shared" si="83"/>
        <v>-43280.022647619044</v>
      </c>
      <c r="AC159" s="34">
        <f t="shared" si="83"/>
        <v>-51480.022647619044</v>
      </c>
      <c r="AD159" s="34">
        <f t="shared" si="83"/>
        <v>-43280.022647619044</v>
      </c>
      <c r="AE159" s="34">
        <f t="shared" si="83"/>
        <v>-43280.022647619044</v>
      </c>
    </row>
    <row r="160" spans="2:31" x14ac:dyDescent="0.25">
      <c r="S160" s="34" t="s">
        <v>214</v>
      </c>
      <c r="T160" s="34">
        <f t="shared" ref="T160:AE160" si="84">T158+T159</f>
        <v>-507615.95127238083</v>
      </c>
      <c r="U160" s="34">
        <f t="shared" si="84"/>
        <v>-550733.05725333316</v>
      </c>
      <c r="V160" s="34">
        <f t="shared" si="84"/>
        <v>-593850.16323428554</v>
      </c>
      <c r="W160" s="34">
        <f t="shared" si="84"/>
        <v>-636967.26921523793</v>
      </c>
      <c r="X160" s="34">
        <f t="shared" si="84"/>
        <v>-680084.37519619032</v>
      </c>
      <c r="Y160" s="34">
        <f t="shared" si="84"/>
        <v>-723396.9811771427</v>
      </c>
      <c r="Z160" s="34">
        <f t="shared" si="84"/>
        <v>-766677.00382476172</v>
      </c>
      <c r="AA160" s="34">
        <f t="shared" si="84"/>
        <v>-809957.02647238073</v>
      </c>
      <c r="AB160" s="34">
        <f t="shared" si="84"/>
        <v>-853237.04911999975</v>
      </c>
      <c r="AC160" s="34">
        <f t="shared" si="84"/>
        <v>-904717.07176761876</v>
      </c>
      <c r="AD160" s="34">
        <f t="shared" si="84"/>
        <v>-947997.09441523778</v>
      </c>
      <c r="AE160" s="34">
        <f t="shared" si="84"/>
        <v>-991277.11706285679</v>
      </c>
    </row>
    <row r="161" spans="2:31" x14ac:dyDescent="0.25">
      <c r="B161" s="288" t="s">
        <v>151</v>
      </c>
      <c r="C161" s="288"/>
      <c r="D161" s="288"/>
      <c r="E161" s="288"/>
      <c r="F161" s="288"/>
      <c r="G161" s="288"/>
      <c r="H161" s="288"/>
      <c r="I161" s="288"/>
      <c r="J161" s="288"/>
      <c r="K161" s="288"/>
      <c r="L161" s="288"/>
      <c r="M161" s="288"/>
      <c r="N161" s="288"/>
      <c r="O161" s="288"/>
      <c r="P161" s="288"/>
    </row>
    <row r="162" spans="2:31" x14ac:dyDescent="0.25">
      <c r="B162" s="213"/>
      <c r="C162" s="215" t="s">
        <v>50</v>
      </c>
      <c r="D162" s="215" t="s">
        <v>51</v>
      </c>
      <c r="E162" s="215" t="s">
        <v>52</v>
      </c>
      <c r="F162" s="215" t="s">
        <v>53</v>
      </c>
      <c r="G162" s="215" t="s">
        <v>54</v>
      </c>
      <c r="H162" s="215" t="s">
        <v>55</v>
      </c>
      <c r="I162" s="215" t="s">
        <v>56</v>
      </c>
      <c r="J162" s="215" t="s">
        <v>57</v>
      </c>
      <c r="K162" s="215" t="s">
        <v>58</v>
      </c>
      <c r="L162" s="215" t="s">
        <v>59</v>
      </c>
      <c r="M162" s="215" t="s">
        <v>60</v>
      </c>
      <c r="N162" s="215" t="s">
        <v>61</v>
      </c>
      <c r="O162" s="220" t="s">
        <v>62</v>
      </c>
      <c r="P162" s="221"/>
    </row>
    <row r="163" spans="2:31" x14ac:dyDescent="0.25">
      <c r="B163" s="214"/>
      <c r="C163" s="216"/>
      <c r="D163" s="216"/>
      <c r="E163" s="216"/>
      <c r="F163" s="216"/>
      <c r="G163" s="216"/>
      <c r="H163" s="216"/>
      <c r="I163" s="216"/>
      <c r="J163" s="216"/>
      <c r="K163" s="216"/>
      <c r="L163" s="216"/>
      <c r="M163" s="216"/>
      <c r="N163" s="216"/>
      <c r="O163" s="58" t="s">
        <v>64</v>
      </c>
      <c r="P163" s="58" t="s">
        <v>65</v>
      </c>
    </row>
    <row r="164" spans="2:31" x14ac:dyDescent="0.25">
      <c r="B164" s="34" t="s">
        <v>121</v>
      </c>
      <c r="C164" s="34">
        <f t="shared" ref="C164:N164" si="85">C100</f>
        <v>6396.9359999999997</v>
      </c>
      <c r="D164" s="34">
        <f t="shared" si="85"/>
        <v>6491.4720000000007</v>
      </c>
      <c r="E164" s="34">
        <f t="shared" si="85"/>
        <v>6491.4720000000007</v>
      </c>
      <c r="F164" s="34">
        <f t="shared" si="85"/>
        <v>6491.4720000000007</v>
      </c>
      <c r="G164" s="34">
        <f t="shared" si="85"/>
        <v>6491.4720000000007</v>
      </c>
      <c r="H164" s="34">
        <f t="shared" si="85"/>
        <v>6491.4720000000007</v>
      </c>
      <c r="I164" s="34">
        <f t="shared" si="85"/>
        <v>6491.4720000000007</v>
      </c>
      <c r="J164" s="117">
        <f t="shared" si="85"/>
        <v>6491.4720000000007</v>
      </c>
      <c r="K164" s="34">
        <f t="shared" si="85"/>
        <v>6491.4720000000007</v>
      </c>
      <c r="L164" s="34">
        <f t="shared" si="85"/>
        <v>6491.4720000000007</v>
      </c>
      <c r="M164" s="34">
        <f t="shared" si="85"/>
        <v>6491.4720000000007</v>
      </c>
      <c r="N164" s="34">
        <f t="shared" si="85"/>
        <v>6491.4720000000007</v>
      </c>
      <c r="O164" s="34"/>
      <c r="P164" s="34"/>
      <c r="S164" s="228" t="s">
        <v>138</v>
      </c>
      <c r="T164" s="229"/>
      <c r="V164" s="224" t="s">
        <v>222</v>
      </c>
      <c r="W164" s="224"/>
      <c r="X164" s="224"/>
      <c r="Y164" s="224"/>
      <c r="Z164" s="224"/>
      <c r="AA164" s="224"/>
    </row>
    <row r="165" spans="2:31" ht="30" x14ac:dyDescent="0.25">
      <c r="B165" s="34" t="s">
        <v>122</v>
      </c>
      <c r="C165" s="34"/>
      <c r="D165" s="34"/>
      <c r="E165" s="34"/>
      <c r="F165" s="34"/>
      <c r="G165" s="34"/>
      <c r="H165" s="34"/>
      <c r="I165" s="34"/>
      <c r="J165" s="34"/>
      <c r="K165" s="34"/>
      <c r="L165" s="34"/>
      <c r="M165" s="34"/>
      <c r="N165" s="34"/>
      <c r="O165" s="34"/>
      <c r="P165" s="34"/>
      <c r="S165" s="143" t="s">
        <v>1</v>
      </c>
      <c r="T165" s="21">
        <f>P97</f>
        <v>64914.719999999994</v>
      </c>
      <c r="V165" s="144" t="s">
        <v>2</v>
      </c>
      <c r="W165" s="145" t="s">
        <v>3</v>
      </c>
      <c r="X165" s="145" t="s">
        <v>4</v>
      </c>
      <c r="Y165" s="145" t="s">
        <v>5</v>
      </c>
      <c r="Z165" s="146" t="s">
        <v>6</v>
      </c>
      <c r="AA165" s="147" t="s">
        <v>5</v>
      </c>
      <c r="AB165" s="287"/>
      <c r="AC165" s="286"/>
      <c r="AD165" s="286"/>
      <c r="AE165" s="286"/>
    </row>
    <row r="166" spans="2:31" x14ac:dyDescent="0.25">
      <c r="B166" s="59" t="s">
        <v>123</v>
      </c>
      <c r="C166" s="59">
        <f t="shared" ref="C166:N166" si="86">C165+C164</f>
        <v>6396.9359999999997</v>
      </c>
      <c r="D166" s="59">
        <f t="shared" si="86"/>
        <v>6491.4720000000007</v>
      </c>
      <c r="E166" s="59">
        <f t="shared" si="86"/>
        <v>6491.4720000000007</v>
      </c>
      <c r="F166" s="59">
        <f t="shared" si="86"/>
        <v>6491.4720000000007</v>
      </c>
      <c r="G166" s="59">
        <f t="shared" si="86"/>
        <v>6491.4720000000007</v>
      </c>
      <c r="H166" s="59">
        <f t="shared" si="86"/>
        <v>6491.4720000000007</v>
      </c>
      <c r="I166" s="59">
        <f t="shared" si="86"/>
        <v>6491.4720000000007</v>
      </c>
      <c r="J166" s="59">
        <f t="shared" si="86"/>
        <v>6491.4720000000007</v>
      </c>
      <c r="K166" s="59">
        <f t="shared" si="86"/>
        <v>6491.4720000000007</v>
      </c>
      <c r="L166" s="59">
        <f t="shared" si="86"/>
        <v>6491.4720000000007</v>
      </c>
      <c r="M166" s="59">
        <f t="shared" si="86"/>
        <v>6491.4720000000007</v>
      </c>
      <c r="N166" s="59">
        <f t="shared" si="86"/>
        <v>6491.4720000000007</v>
      </c>
      <c r="O166" s="34"/>
      <c r="P166" s="34"/>
      <c r="S166" s="143" t="s">
        <v>67</v>
      </c>
      <c r="T166" s="21">
        <v>0</v>
      </c>
      <c r="V166" s="148" t="s">
        <v>8</v>
      </c>
      <c r="W166" s="148">
        <f>SUM(W167:W170)</f>
        <v>214000</v>
      </c>
      <c r="X166" s="148">
        <f>SUM(X167:X168)</f>
        <v>54100</v>
      </c>
      <c r="Y166" s="148">
        <f>SUM(Y167:Y168)</f>
        <v>159900</v>
      </c>
      <c r="Z166" s="148" t="s">
        <v>9</v>
      </c>
      <c r="AA166" s="149">
        <f>SUM(AA167:AA170)</f>
        <v>-881697.31700952386</v>
      </c>
      <c r="AB166" s="287"/>
      <c r="AC166" s="286"/>
      <c r="AD166" s="286"/>
      <c r="AE166" s="286"/>
    </row>
    <row r="167" spans="2:31" ht="30" x14ac:dyDescent="0.25">
      <c r="B167" s="34" t="s">
        <v>124</v>
      </c>
      <c r="C167" s="165">
        <f t="shared" ref="C167:N167" si="87">C109</f>
        <v>2012.3563200000001</v>
      </c>
      <c r="D167" s="165">
        <f t="shared" si="87"/>
        <v>2012.3563200000001</v>
      </c>
      <c r="E167" s="165">
        <f t="shared" si="87"/>
        <v>2012.3563200000001</v>
      </c>
      <c r="F167" s="165">
        <f t="shared" si="87"/>
        <v>2012.3563200000001</v>
      </c>
      <c r="G167" s="165">
        <f t="shared" si="87"/>
        <v>2012.3563200000001</v>
      </c>
      <c r="H167" s="165">
        <f t="shared" si="87"/>
        <v>2012.3563200000001</v>
      </c>
      <c r="I167" s="165">
        <f t="shared" si="87"/>
        <v>2012.3563200000001</v>
      </c>
      <c r="J167" s="165">
        <f t="shared" si="87"/>
        <v>2012.3563200000001</v>
      </c>
      <c r="K167" s="165">
        <f t="shared" si="87"/>
        <v>2012.3563200000001</v>
      </c>
      <c r="L167" s="165">
        <f t="shared" si="87"/>
        <v>2012.3563200000001</v>
      </c>
      <c r="M167" s="165">
        <f t="shared" si="87"/>
        <v>2012.3563200000001</v>
      </c>
      <c r="N167" s="165">
        <f t="shared" si="87"/>
        <v>2012.3563200000001</v>
      </c>
      <c r="O167" s="34"/>
      <c r="P167" s="34"/>
      <c r="S167" s="144" t="s">
        <v>10</v>
      </c>
      <c r="T167" s="131">
        <f>T165+T166</f>
        <v>64914.719999999994</v>
      </c>
      <c r="V167" s="150" t="s">
        <v>11</v>
      </c>
      <c r="W167" s="150">
        <f>W74</f>
        <v>159000</v>
      </c>
      <c r="X167" s="150">
        <f>X74+P123*0.75</f>
        <v>19750</v>
      </c>
      <c r="Y167" s="150">
        <f>W167-X167</f>
        <v>139250</v>
      </c>
      <c r="Z167" s="150" t="s">
        <v>12</v>
      </c>
      <c r="AA167" s="151">
        <f>AA74</f>
        <v>80000</v>
      </c>
      <c r="AB167" s="162"/>
      <c r="AC167" s="118"/>
      <c r="AD167" s="118"/>
      <c r="AE167" s="118"/>
    </row>
    <row r="168" spans="2:31" x14ac:dyDescent="0.25">
      <c r="B168" s="34" t="s">
        <v>125</v>
      </c>
      <c r="C168" s="165"/>
      <c r="D168" s="165"/>
      <c r="E168" s="165"/>
      <c r="F168" s="165"/>
      <c r="G168" s="165"/>
      <c r="H168" s="165"/>
      <c r="I168" s="165"/>
      <c r="J168" s="165"/>
      <c r="K168" s="165"/>
      <c r="L168" s="165"/>
      <c r="M168" s="165"/>
      <c r="N168" s="165"/>
      <c r="O168" s="34"/>
      <c r="P168" s="34"/>
      <c r="S168" s="143" t="s">
        <v>70</v>
      </c>
      <c r="T168" s="21">
        <f>P106</f>
        <v>20123.563199999993</v>
      </c>
      <c r="V168" s="150" t="s">
        <v>14</v>
      </c>
      <c r="W168" s="150">
        <f>W75</f>
        <v>55000</v>
      </c>
      <c r="X168" s="150">
        <f>X75+T173*0.25</f>
        <v>34350</v>
      </c>
      <c r="Y168" s="150">
        <f>W168-X168</f>
        <v>20650</v>
      </c>
      <c r="Z168" s="150" t="s">
        <v>15</v>
      </c>
      <c r="AA168" s="151">
        <v>5000</v>
      </c>
      <c r="AB168" s="152"/>
    </row>
    <row r="169" spans="2:31" x14ac:dyDescent="0.25">
      <c r="B169" s="34" t="s">
        <v>126</v>
      </c>
      <c r="C169" s="165">
        <f t="shared" ref="C169:N169" si="88">C125</f>
        <v>25625</v>
      </c>
      <c r="D169" s="165">
        <f t="shared" si="88"/>
        <v>25625</v>
      </c>
      <c r="E169" s="165">
        <f t="shared" si="88"/>
        <v>25625</v>
      </c>
      <c r="F169" s="165">
        <f t="shared" si="88"/>
        <v>25625</v>
      </c>
      <c r="G169" s="165">
        <f t="shared" si="88"/>
        <v>25625</v>
      </c>
      <c r="H169" s="165">
        <f t="shared" si="88"/>
        <v>25625</v>
      </c>
      <c r="I169" s="165">
        <f t="shared" si="88"/>
        <v>25625</v>
      </c>
      <c r="J169" s="165">
        <f t="shared" si="88"/>
        <v>25625</v>
      </c>
      <c r="K169" s="165">
        <f t="shared" si="88"/>
        <v>25625</v>
      </c>
      <c r="L169" s="165">
        <f t="shared" si="88"/>
        <v>25625</v>
      </c>
      <c r="M169" s="165">
        <f t="shared" si="88"/>
        <v>25625</v>
      </c>
      <c r="N169" s="165">
        <f t="shared" si="88"/>
        <v>25625</v>
      </c>
      <c r="O169" s="34"/>
      <c r="P169" s="34"/>
      <c r="S169" s="143" t="s">
        <v>73</v>
      </c>
      <c r="T169" s="21">
        <f>P115+P117+P118</f>
        <v>90036.845238095237</v>
      </c>
      <c r="V169" s="148"/>
      <c r="W169" s="148"/>
      <c r="X169" s="148"/>
      <c r="Y169" s="148"/>
      <c r="Z169" s="150" t="s">
        <v>17</v>
      </c>
      <c r="AA169" s="151">
        <f>AA76+AA77</f>
        <v>-472451.62857142859</v>
      </c>
      <c r="AB169" s="152"/>
    </row>
    <row r="170" spans="2:31" x14ac:dyDescent="0.25">
      <c r="B170" s="34" t="s">
        <v>21</v>
      </c>
      <c r="C170" s="34">
        <f t="shared" ref="C170:N170" si="89">C127</f>
        <v>10250</v>
      </c>
      <c r="D170" s="34">
        <f t="shared" si="89"/>
        <v>10250</v>
      </c>
      <c r="E170" s="34">
        <f t="shared" si="89"/>
        <v>10250</v>
      </c>
      <c r="F170" s="34">
        <f t="shared" si="89"/>
        <v>10250</v>
      </c>
      <c r="G170" s="34">
        <f t="shared" si="89"/>
        <v>10250</v>
      </c>
      <c r="H170" s="34">
        <f t="shared" si="89"/>
        <v>10250</v>
      </c>
      <c r="I170" s="34">
        <f t="shared" si="89"/>
        <v>10250</v>
      </c>
      <c r="J170" s="34">
        <f t="shared" si="89"/>
        <v>10250</v>
      </c>
      <c r="K170" s="34">
        <f t="shared" si="89"/>
        <v>10250</v>
      </c>
      <c r="L170" s="34">
        <f t="shared" si="89"/>
        <v>10250</v>
      </c>
      <c r="M170" s="34">
        <f t="shared" si="89"/>
        <v>10250</v>
      </c>
      <c r="N170" s="34">
        <f t="shared" si="89"/>
        <v>10250</v>
      </c>
      <c r="O170" s="34"/>
      <c r="P170" s="34"/>
      <c r="S170" s="143" t="s">
        <v>18</v>
      </c>
      <c r="T170" s="21">
        <f>P133</f>
        <v>8200</v>
      </c>
      <c r="V170" s="150"/>
      <c r="W170" s="150"/>
      <c r="X170" s="150"/>
      <c r="Y170" s="150"/>
      <c r="Z170" s="150" t="s">
        <v>19</v>
      </c>
      <c r="AA170" s="151">
        <f>T182</f>
        <v>-494245.68843809527</v>
      </c>
      <c r="AB170" s="152"/>
    </row>
    <row r="171" spans="2:31" x14ac:dyDescent="0.25">
      <c r="B171" s="34" t="s">
        <v>102</v>
      </c>
      <c r="C171" s="165">
        <f t="shared" ref="C171:N171" si="90">C134</f>
        <v>0</v>
      </c>
      <c r="D171" s="165">
        <f t="shared" si="90"/>
        <v>0</v>
      </c>
      <c r="E171" s="165">
        <f t="shared" si="90"/>
        <v>0</v>
      </c>
      <c r="F171" s="165">
        <f t="shared" si="90"/>
        <v>0</v>
      </c>
      <c r="G171" s="165">
        <f t="shared" si="90"/>
        <v>0</v>
      </c>
      <c r="H171" s="165">
        <f t="shared" si="90"/>
        <v>0</v>
      </c>
      <c r="I171" s="165">
        <f t="shared" si="90"/>
        <v>0</v>
      </c>
      <c r="J171" s="165">
        <f t="shared" si="90"/>
        <v>0</v>
      </c>
      <c r="K171" s="165">
        <f t="shared" si="90"/>
        <v>0</v>
      </c>
      <c r="L171" s="165">
        <f t="shared" si="90"/>
        <v>8200</v>
      </c>
      <c r="M171" s="165">
        <f t="shared" si="90"/>
        <v>0</v>
      </c>
      <c r="N171" s="165">
        <f t="shared" si="90"/>
        <v>0</v>
      </c>
      <c r="O171" s="34"/>
      <c r="P171" s="34"/>
      <c r="S171" s="143" t="s">
        <v>20</v>
      </c>
      <c r="T171" s="21">
        <f>P125</f>
        <v>307500</v>
      </c>
      <c r="V171" s="152"/>
      <c r="W171" s="153"/>
      <c r="Y171" s="153"/>
      <c r="Z171" s="151"/>
      <c r="AA171" s="149"/>
      <c r="AB171" s="162"/>
      <c r="AC171" s="118"/>
      <c r="AD171" s="118"/>
      <c r="AE171" s="118"/>
    </row>
    <row r="172" spans="2:31" x14ac:dyDescent="0.25">
      <c r="B172" s="34" t="s">
        <v>127</v>
      </c>
      <c r="C172" s="165">
        <f t="shared" ref="C172:N172" si="91">C121</f>
        <v>8828.0357142857138</v>
      </c>
      <c r="D172" s="165">
        <f t="shared" si="91"/>
        <v>8828.0357142857138</v>
      </c>
      <c r="E172" s="165">
        <f t="shared" si="91"/>
        <v>8828.0357142857138</v>
      </c>
      <c r="F172" s="165">
        <f t="shared" si="91"/>
        <v>8828.0357142857138</v>
      </c>
      <c r="G172" s="165">
        <f t="shared" si="91"/>
        <v>8828.0357142857138</v>
      </c>
      <c r="H172" s="165">
        <f t="shared" si="91"/>
        <v>9023.5357142857138</v>
      </c>
      <c r="I172" s="165">
        <f t="shared" si="91"/>
        <v>9023.5357142857138</v>
      </c>
      <c r="J172" s="165">
        <f t="shared" si="91"/>
        <v>9023.5357142857138</v>
      </c>
      <c r="K172" s="165">
        <f t="shared" si="91"/>
        <v>9023.5357142857138</v>
      </c>
      <c r="L172" s="165">
        <f t="shared" si="91"/>
        <v>9023.5357142857138</v>
      </c>
      <c r="M172" s="165">
        <f t="shared" si="91"/>
        <v>9023.5357142857138</v>
      </c>
      <c r="N172" s="165">
        <f t="shared" si="91"/>
        <v>9023.5357142857138</v>
      </c>
      <c r="O172" s="34"/>
      <c r="P172" s="34"/>
      <c r="S172" s="143" t="s">
        <v>21</v>
      </c>
      <c r="T172" s="21">
        <f>P126</f>
        <v>123000</v>
      </c>
      <c r="V172" s="148" t="s">
        <v>22</v>
      </c>
      <c r="W172" s="148">
        <f>SUM(W173:W175)</f>
        <v>-973031.38106285676</v>
      </c>
      <c r="X172" s="148">
        <f>SUM(X173:X175)</f>
        <v>0</v>
      </c>
      <c r="Y172" s="148">
        <f>SUM(Y173:Y175)</f>
        <v>-973031.38106285676</v>
      </c>
      <c r="Z172" s="148" t="s">
        <v>23</v>
      </c>
      <c r="AA172" s="149">
        <f>SUM(AA173:AA176)</f>
        <v>49543.935946666665</v>
      </c>
      <c r="AB172" s="152"/>
    </row>
    <row r="173" spans="2:31" ht="30" x14ac:dyDescent="0.25">
      <c r="B173" s="34" t="s">
        <v>128</v>
      </c>
      <c r="C173" s="165">
        <f t="shared" ref="C173:N173" si="92">C137</f>
        <v>3566.666666666667</v>
      </c>
      <c r="D173" s="165">
        <f t="shared" si="92"/>
        <v>3566.666666666667</v>
      </c>
      <c r="E173" s="165">
        <f t="shared" si="92"/>
        <v>3566.666666666667</v>
      </c>
      <c r="F173" s="165">
        <f t="shared" si="92"/>
        <v>3566.666666666667</v>
      </c>
      <c r="G173" s="165">
        <f t="shared" si="92"/>
        <v>3566.666666666667</v>
      </c>
      <c r="H173" s="165">
        <f t="shared" si="92"/>
        <v>3566.666666666667</v>
      </c>
      <c r="I173" s="165">
        <f t="shared" si="92"/>
        <v>3566.666666666667</v>
      </c>
      <c r="J173" s="165">
        <f t="shared" si="92"/>
        <v>3566.666666666667</v>
      </c>
      <c r="K173" s="165">
        <f t="shared" si="92"/>
        <v>3566.666666666667</v>
      </c>
      <c r="L173" s="165">
        <f t="shared" si="92"/>
        <v>3566.666666666667</v>
      </c>
      <c r="M173" s="165">
        <f t="shared" si="92"/>
        <v>3566.666666666667</v>
      </c>
      <c r="N173" s="165">
        <f t="shared" si="92"/>
        <v>3566.666666666667</v>
      </c>
      <c r="O173" s="34"/>
      <c r="P173" s="34"/>
      <c r="S173" s="143" t="s">
        <v>75</v>
      </c>
      <c r="T173" s="21">
        <f>P123</f>
        <v>7500</v>
      </c>
      <c r="V173" s="150" t="s">
        <v>25</v>
      </c>
      <c r="W173" s="150">
        <v>15000</v>
      </c>
      <c r="X173" s="150"/>
      <c r="Y173" s="150">
        <f>W173-X173</f>
        <v>15000</v>
      </c>
      <c r="Z173" s="150" t="s">
        <v>26</v>
      </c>
      <c r="AA173" s="151">
        <v>40000</v>
      </c>
      <c r="AB173" s="152"/>
    </row>
    <row r="174" spans="2:31" x14ac:dyDescent="0.25">
      <c r="B174" s="34" t="s">
        <v>129</v>
      </c>
      <c r="C174" s="165">
        <f t="shared" ref="C174:N174" si="93">C145</f>
        <v>0</v>
      </c>
      <c r="D174" s="165">
        <f t="shared" si="93"/>
        <v>0</v>
      </c>
      <c r="E174" s="165">
        <f t="shared" si="93"/>
        <v>0</v>
      </c>
      <c r="F174" s="165">
        <f t="shared" si="93"/>
        <v>0</v>
      </c>
      <c r="G174" s="165">
        <f t="shared" si="93"/>
        <v>0</v>
      </c>
      <c r="H174" s="165">
        <f t="shared" si="93"/>
        <v>0</v>
      </c>
      <c r="I174" s="165">
        <f t="shared" si="93"/>
        <v>0</v>
      </c>
      <c r="J174" s="165">
        <f t="shared" si="93"/>
        <v>0</v>
      </c>
      <c r="K174" s="165">
        <f t="shared" si="93"/>
        <v>0</v>
      </c>
      <c r="L174" s="165">
        <f t="shared" si="93"/>
        <v>0</v>
      </c>
      <c r="M174" s="165">
        <f t="shared" si="93"/>
        <v>0</v>
      </c>
      <c r="N174" s="165">
        <f t="shared" si="93"/>
        <v>0</v>
      </c>
      <c r="O174" s="34"/>
      <c r="P174" s="34"/>
      <c r="S174" s="144" t="s">
        <v>76</v>
      </c>
      <c r="T174" s="131">
        <f>SUM(T168:T173)</f>
        <v>556360.40843809524</v>
      </c>
      <c r="V174" s="150" t="s">
        <v>28</v>
      </c>
      <c r="W174" s="150">
        <f>P100</f>
        <v>3245.7360000000003</v>
      </c>
      <c r="X174" s="150"/>
      <c r="Y174" s="150">
        <f>W174-X174</f>
        <v>3245.7360000000003</v>
      </c>
      <c r="Z174" s="150" t="s">
        <v>29</v>
      </c>
      <c r="AA174" s="151">
        <v>0</v>
      </c>
      <c r="AB174" s="162"/>
      <c r="AC174" s="118"/>
      <c r="AD174" s="118"/>
      <c r="AE174" s="118"/>
    </row>
    <row r="175" spans="2:31" x14ac:dyDescent="0.25">
      <c r="B175" s="34" t="s">
        <v>130</v>
      </c>
      <c r="C175" s="165">
        <f t="shared" ref="C175:N175" si="94">C158</f>
        <v>-684.7199999999998</v>
      </c>
      <c r="D175" s="165">
        <f t="shared" si="94"/>
        <v>-673.48072000000002</v>
      </c>
      <c r="E175" s="165">
        <f t="shared" si="94"/>
        <v>-673.48072000000002</v>
      </c>
      <c r="F175" s="165">
        <f t="shared" si="94"/>
        <v>-673.48072000000002</v>
      </c>
      <c r="G175" s="165">
        <f t="shared" si="94"/>
        <v>-673.48072000000002</v>
      </c>
      <c r="H175" s="165">
        <f t="shared" si="94"/>
        <v>-673.48072000000002</v>
      </c>
      <c r="I175" s="165">
        <f t="shared" si="94"/>
        <v>-706.06405333333328</v>
      </c>
      <c r="J175" s="165">
        <f t="shared" si="94"/>
        <v>-706.06405333333328</v>
      </c>
      <c r="K175" s="165">
        <f t="shared" si="94"/>
        <v>-706.06405333333328</v>
      </c>
      <c r="L175" s="165">
        <f t="shared" si="94"/>
        <v>-706.06405333333328</v>
      </c>
      <c r="M175" s="165">
        <f t="shared" si="94"/>
        <v>-706.06405333333328</v>
      </c>
      <c r="N175" s="165">
        <f t="shared" si="94"/>
        <v>-706.06405333333328</v>
      </c>
      <c r="O175" s="34"/>
      <c r="P175" s="34"/>
      <c r="S175" s="154" t="s">
        <v>30</v>
      </c>
      <c r="T175" s="155">
        <f>T167-T174</f>
        <v>-491445.68843809527</v>
      </c>
      <c r="V175" s="150" t="s">
        <v>34</v>
      </c>
      <c r="W175" s="150">
        <f>AE160</f>
        <v>-991277.11706285679</v>
      </c>
      <c r="X175" s="150"/>
      <c r="Y175" s="150">
        <f>W175-X175</f>
        <v>-991277.11706285679</v>
      </c>
      <c r="Z175" s="150" t="s">
        <v>32</v>
      </c>
      <c r="AA175" s="151">
        <f>P158+P127</f>
        <v>9543.9359466666665</v>
      </c>
      <c r="AB175" s="152"/>
    </row>
    <row r="176" spans="2:31" x14ac:dyDescent="0.25">
      <c r="B176" s="59" t="s">
        <v>131</v>
      </c>
      <c r="C176" s="59">
        <f t="shared" ref="C176:N176" si="95">SUM(C167:C175)</f>
        <v>49597.338700952379</v>
      </c>
      <c r="D176" s="59">
        <f t="shared" si="95"/>
        <v>49608.577980952381</v>
      </c>
      <c r="E176" s="59">
        <f t="shared" si="95"/>
        <v>49608.577980952381</v>
      </c>
      <c r="F176" s="59">
        <f t="shared" si="95"/>
        <v>49608.577980952381</v>
      </c>
      <c r="G176" s="59">
        <f t="shared" si="95"/>
        <v>49608.577980952381</v>
      </c>
      <c r="H176" s="59">
        <f t="shared" si="95"/>
        <v>49804.077980952381</v>
      </c>
      <c r="I176" s="59">
        <f t="shared" si="95"/>
        <v>49771.494647619045</v>
      </c>
      <c r="J176" s="59">
        <f t="shared" si="95"/>
        <v>49771.494647619045</v>
      </c>
      <c r="K176" s="59">
        <f t="shared" si="95"/>
        <v>49771.494647619045</v>
      </c>
      <c r="L176" s="59">
        <f t="shared" si="95"/>
        <v>57971.494647619045</v>
      </c>
      <c r="M176" s="59">
        <f t="shared" si="95"/>
        <v>49771.494647619045</v>
      </c>
      <c r="N176" s="59">
        <f t="shared" si="95"/>
        <v>49771.494647619045</v>
      </c>
      <c r="O176" s="34"/>
      <c r="P176" s="34"/>
      <c r="S176" s="144" t="s">
        <v>33</v>
      </c>
      <c r="T176" s="131">
        <v>0</v>
      </c>
      <c r="V176" s="150"/>
      <c r="W176" s="150"/>
      <c r="X176" s="150"/>
      <c r="Y176" s="150"/>
      <c r="Z176" s="150" t="s">
        <v>221</v>
      </c>
      <c r="AA176" s="151">
        <f>AA83+SUM(T153:AE153)</f>
        <v>0</v>
      </c>
      <c r="AB176" s="152"/>
    </row>
    <row r="177" spans="2:28" x14ac:dyDescent="0.25">
      <c r="B177" s="59" t="s">
        <v>132</v>
      </c>
      <c r="C177" s="59">
        <f>W82</f>
        <v>-464415.54857142846</v>
      </c>
      <c r="D177" s="59">
        <f t="shared" ref="D177:N177" si="96">C179</f>
        <v>-507615.95127238083</v>
      </c>
      <c r="E177" s="59">
        <f t="shared" si="96"/>
        <v>-550733.05725333316</v>
      </c>
      <c r="F177" s="59">
        <f t="shared" si="96"/>
        <v>-593850.16323428554</v>
      </c>
      <c r="G177" s="59">
        <f t="shared" si="96"/>
        <v>-636967.26921523793</v>
      </c>
      <c r="H177" s="59">
        <f t="shared" si="96"/>
        <v>-680084.37519619032</v>
      </c>
      <c r="I177" s="59">
        <f t="shared" si="96"/>
        <v>-723396.9811771427</v>
      </c>
      <c r="J177" s="59">
        <f t="shared" si="96"/>
        <v>-766677.00382476172</v>
      </c>
      <c r="K177" s="59">
        <f t="shared" si="96"/>
        <v>-809957.02647238073</v>
      </c>
      <c r="L177" s="59">
        <f t="shared" si="96"/>
        <v>-853237.04911999975</v>
      </c>
      <c r="M177" s="59">
        <f t="shared" si="96"/>
        <v>-904717.07176761876</v>
      </c>
      <c r="N177" s="59">
        <f t="shared" si="96"/>
        <v>-947997.09441523778</v>
      </c>
      <c r="O177" s="34"/>
      <c r="P177" s="34"/>
      <c r="S177" s="143" t="s">
        <v>36</v>
      </c>
      <c r="T177" s="21">
        <f>P135+SUM(T156:AE156)</f>
        <v>2800.0000000000014</v>
      </c>
      <c r="V177" s="156" t="s">
        <v>38</v>
      </c>
      <c r="W177" s="156">
        <f>W166+W172</f>
        <v>-759031.38106285676</v>
      </c>
      <c r="X177" s="156">
        <f>X166</f>
        <v>54100</v>
      </c>
      <c r="Y177" s="156">
        <f>W177-X177</f>
        <v>-813131.38106285676</v>
      </c>
      <c r="Z177" s="156" t="s">
        <v>39</v>
      </c>
      <c r="AA177" s="157">
        <f>AA166+AA172</f>
        <v>-832153.38106285722</v>
      </c>
      <c r="AB177" s="152"/>
    </row>
    <row r="178" spans="2:28" x14ac:dyDescent="0.25">
      <c r="B178" s="34" t="s">
        <v>133</v>
      </c>
      <c r="C178" s="34">
        <f t="shared" ref="C178:N178" si="97">C166-C176</f>
        <v>-43200.402700952378</v>
      </c>
      <c r="D178" s="34">
        <f t="shared" si="97"/>
        <v>-43117.105980952379</v>
      </c>
      <c r="E178" s="34">
        <f t="shared" si="97"/>
        <v>-43117.105980952379</v>
      </c>
      <c r="F178" s="34">
        <f t="shared" si="97"/>
        <v>-43117.105980952379</v>
      </c>
      <c r="G178" s="34">
        <f t="shared" si="97"/>
        <v>-43117.105980952379</v>
      </c>
      <c r="H178" s="34">
        <f t="shared" si="97"/>
        <v>-43312.605980952379</v>
      </c>
      <c r="I178" s="34">
        <f t="shared" si="97"/>
        <v>-43280.022647619044</v>
      </c>
      <c r="J178" s="34">
        <f t="shared" si="97"/>
        <v>-43280.022647619044</v>
      </c>
      <c r="K178" s="34">
        <f t="shared" si="97"/>
        <v>-43280.022647619044</v>
      </c>
      <c r="L178" s="34">
        <f t="shared" si="97"/>
        <v>-51480.022647619044</v>
      </c>
      <c r="M178" s="34">
        <f t="shared" si="97"/>
        <v>-43280.022647619044</v>
      </c>
      <c r="N178" s="34">
        <f t="shared" si="97"/>
        <v>-43280.022647619044</v>
      </c>
      <c r="O178" s="34"/>
      <c r="P178" s="34"/>
      <c r="S178" s="144" t="s">
        <v>37</v>
      </c>
      <c r="T178" s="131">
        <f>T177</f>
        <v>2800.0000000000014</v>
      </c>
      <c r="Z178" s="158" t="s">
        <v>42</v>
      </c>
      <c r="AA178" s="159">
        <f>Y177-AA177</f>
        <v>19022.000000000466</v>
      </c>
    </row>
    <row r="179" spans="2:28" x14ac:dyDescent="0.25">
      <c r="B179" s="59" t="s">
        <v>134</v>
      </c>
      <c r="C179" s="59">
        <f t="shared" ref="C179:N179" si="98">C177+C178</f>
        <v>-507615.95127238083</v>
      </c>
      <c r="D179" s="59">
        <f t="shared" si="98"/>
        <v>-550733.05725333316</v>
      </c>
      <c r="E179" s="59">
        <f t="shared" si="98"/>
        <v>-593850.16323428554</v>
      </c>
      <c r="F179" s="59">
        <f t="shared" si="98"/>
        <v>-636967.26921523793</v>
      </c>
      <c r="G179" s="59">
        <f t="shared" si="98"/>
        <v>-680084.37519619032</v>
      </c>
      <c r="H179" s="59">
        <f t="shared" si="98"/>
        <v>-723396.9811771427</v>
      </c>
      <c r="I179" s="59">
        <f t="shared" si="98"/>
        <v>-766677.00382476172</v>
      </c>
      <c r="J179" s="59">
        <f t="shared" si="98"/>
        <v>-809957.02647238073</v>
      </c>
      <c r="K179" s="59">
        <f t="shared" si="98"/>
        <v>-853237.04911999975</v>
      </c>
      <c r="L179" s="59">
        <f t="shared" si="98"/>
        <v>-904717.07176761876</v>
      </c>
      <c r="M179" s="59">
        <f t="shared" si="98"/>
        <v>-947997.09441523778</v>
      </c>
      <c r="N179" s="59">
        <f t="shared" si="98"/>
        <v>-991277.11706285679</v>
      </c>
      <c r="O179" s="60" t="s">
        <v>135</v>
      </c>
      <c r="P179" s="61">
        <f>N179</f>
        <v>-991277.11706285679</v>
      </c>
      <c r="S179" s="154" t="s">
        <v>40</v>
      </c>
      <c r="T179" s="155">
        <f>T176-T178</f>
        <v>-2800.0000000000014</v>
      </c>
    </row>
    <row r="180" spans="2:28" x14ac:dyDescent="0.25">
      <c r="S180" s="154" t="s">
        <v>43</v>
      </c>
      <c r="T180" s="155">
        <f>T175-(-T179)</f>
        <v>-494245.68843809527</v>
      </c>
    </row>
    <row r="181" spans="2:28" x14ac:dyDescent="0.25">
      <c r="S181" s="154" t="s">
        <v>45</v>
      </c>
      <c r="T181" s="21"/>
    </row>
    <row r="182" spans="2:28" ht="24" x14ac:dyDescent="0.4">
      <c r="B182" s="290" t="s">
        <v>152</v>
      </c>
      <c r="C182" s="290"/>
      <c r="D182" s="290"/>
      <c r="E182" s="290"/>
      <c r="F182" s="290"/>
      <c r="G182" s="290"/>
      <c r="H182" s="290"/>
      <c r="I182" s="290"/>
      <c r="J182" s="290"/>
      <c r="K182" s="290"/>
      <c r="L182" s="290"/>
      <c r="M182" s="290"/>
      <c r="N182" s="290"/>
      <c r="O182" s="290"/>
      <c r="P182" s="290"/>
      <c r="S182" s="160" t="s">
        <v>47</v>
      </c>
      <c r="T182" s="161">
        <f>T180</f>
        <v>-494245.68843809527</v>
      </c>
    </row>
    <row r="185" spans="2:28" x14ac:dyDescent="0.25">
      <c r="B185" s="288" t="s">
        <v>153</v>
      </c>
      <c r="C185" s="288"/>
      <c r="D185" s="288"/>
      <c r="E185" s="288"/>
      <c r="F185" s="288"/>
      <c r="G185" s="288"/>
      <c r="H185" s="288"/>
      <c r="I185" s="288"/>
      <c r="J185" s="288"/>
      <c r="K185" s="288"/>
      <c r="L185" s="288"/>
      <c r="M185" s="288"/>
      <c r="N185" s="288"/>
      <c r="O185" s="288"/>
      <c r="P185" s="288"/>
    </row>
    <row r="186" spans="2:28" x14ac:dyDescent="0.25">
      <c r="B186" s="213"/>
      <c r="C186" s="215" t="s">
        <v>50</v>
      </c>
      <c r="D186" s="215" t="s">
        <v>51</v>
      </c>
      <c r="E186" s="215" t="s">
        <v>52</v>
      </c>
      <c r="F186" s="215" t="s">
        <v>53</v>
      </c>
      <c r="G186" s="215" t="s">
        <v>54</v>
      </c>
      <c r="H186" s="215" t="s">
        <v>55</v>
      </c>
      <c r="I186" s="215" t="s">
        <v>56</v>
      </c>
      <c r="J186" s="215" t="s">
        <v>57</v>
      </c>
      <c r="K186" s="215" t="s">
        <v>58</v>
      </c>
      <c r="L186" s="215" t="s">
        <v>59</v>
      </c>
      <c r="M186" s="215" t="s">
        <v>60</v>
      </c>
      <c r="N186" s="215" t="s">
        <v>61</v>
      </c>
      <c r="O186" s="220" t="s">
        <v>62</v>
      </c>
      <c r="P186" s="221"/>
    </row>
    <row r="187" spans="2:28" x14ac:dyDescent="0.25">
      <c r="B187" s="214"/>
      <c r="C187" s="216"/>
      <c r="D187" s="216"/>
      <c r="E187" s="216"/>
      <c r="F187" s="216"/>
      <c r="G187" s="216"/>
      <c r="H187" s="216"/>
      <c r="I187" s="216"/>
      <c r="J187" s="216"/>
      <c r="K187" s="216"/>
      <c r="L187" s="216"/>
      <c r="M187" s="216"/>
      <c r="N187" s="216"/>
      <c r="O187" s="58" t="s">
        <v>64</v>
      </c>
      <c r="P187" s="58" t="s">
        <v>65</v>
      </c>
    </row>
    <row r="188" spans="2:28" x14ac:dyDescent="0.25">
      <c r="B188" s="34" t="s">
        <v>66</v>
      </c>
      <c r="C188" s="34">
        <f t="shared" ref="C188:N188" si="99">C97*1.03</f>
        <v>5571.8468000000003</v>
      </c>
      <c r="D188" s="34">
        <f t="shared" si="99"/>
        <v>5571.8468000000003</v>
      </c>
      <c r="E188" s="34">
        <f t="shared" si="99"/>
        <v>5571.8468000000003</v>
      </c>
      <c r="F188" s="34">
        <f t="shared" si="99"/>
        <v>5571.8468000000003</v>
      </c>
      <c r="G188" s="34">
        <f t="shared" si="99"/>
        <v>5571.8468000000003</v>
      </c>
      <c r="H188" s="34">
        <f t="shared" si="99"/>
        <v>5571.8468000000003</v>
      </c>
      <c r="I188" s="34">
        <f t="shared" si="99"/>
        <v>5571.8468000000003</v>
      </c>
      <c r="J188" s="34">
        <f t="shared" si="99"/>
        <v>5571.8468000000003</v>
      </c>
      <c r="K188" s="34">
        <f t="shared" si="99"/>
        <v>5571.8468000000003</v>
      </c>
      <c r="L188" s="34">
        <f t="shared" si="99"/>
        <v>5571.8468000000003</v>
      </c>
      <c r="M188" s="34">
        <f t="shared" si="99"/>
        <v>5571.8468000000003</v>
      </c>
      <c r="N188" s="34">
        <f t="shared" si="99"/>
        <v>5571.8468000000003</v>
      </c>
      <c r="O188" s="60" t="s">
        <v>1</v>
      </c>
      <c r="P188" s="61">
        <f>SUM(C188:N188)</f>
        <v>66862.161600000007</v>
      </c>
    </row>
    <row r="189" spans="2:28" x14ac:dyDescent="0.25">
      <c r="B189" s="34" t="s">
        <v>68</v>
      </c>
      <c r="C189" s="34">
        <f t="shared" ref="C189:N189" si="100">C188*20%</f>
        <v>1114.3693600000001</v>
      </c>
      <c r="D189" s="34">
        <f t="shared" si="100"/>
        <v>1114.3693600000001</v>
      </c>
      <c r="E189" s="34">
        <f t="shared" si="100"/>
        <v>1114.3693600000001</v>
      </c>
      <c r="F189" s="34">
        <f t="shared" si="100"/>
        <v>1114.3693600000001</v>
      </c>
      <c r="G189" s="34">
        <f t="shared" si="100"/>
        <v>1114.3693600000001</v>
      </c>
      <c r="H189" s="34">
        <f t="shared" si="100"/>
        <v>1114.3693600000001</v>
      </c>
      <c r="I189" s="34">
        <f t="shared" si="100"/>
        <v>1114.3693600000001</v>
      </c>
      <c r="J189" s="34">
        <f t="shared" si="100"/>
        <v>1114.3693600000001</v>
      </c>
      <c r="K189" s="34">
        <f t="shared" si="100"/>
        <v>1114.3693600000001</v>
      </c>
      <c r="L189" s="34">
        <f t="shared" si="100"/>
        <v>1114.3693600000001</v>
      </c>
      <c r="M189" s="34">
        <f t="shared" si="100"/>
        <v>1114.3693600000001</v>
      </c>
      <c r="N189" s="34">
        <f t="shared" si="100"/>
        <v>1114.3693600000001</v>
      </c>
      <c r="O189" s="34"/>
      <c r="P189" s="34"/>
    </row>
    <row r="190" spans="2:28" x14ac:dyDescent="0.25">
      <c r="B190" s="34" t="s">
        <v>69</v>
      </c>
      <c r="C190" s="34">
        <f t="shared" ref="C190:N190" si="101">C188+C189</f>
        <v>6686.2161599999999</v>
      </c>
      <c r="D190" s="34">
        <f t="shared" si="101"/>
        <v>6686.2161599999999</v>
      </c>
      <c r="E190" s="34">
        <f t="shared" si="101"/>
        <v>6686.2161599999999</v>
      </c>
      <c r="F190" s="34">
        <f t="shared" si="101"/>
        <v>6686.2161599999999</v>
      </c>
      <c r="G190" s="34">
        <f t="shared" si="101"/>
        <v>6686.2161599999999</v>
      </c>
      <c r="H190" s="34">
        <f t="shared" si="101"/>
        <v>6686.2161599999999</v>
      </c>
      <c r="I190" s="34">
        <f t="shared" si="101"/>
        <v>6686.2161599999999</v>
      </c>
      <c r="J190" s="34">
        <f t="shared" si="101"/>
        <v>6686.2161599999999</v>
      </c>
      <c r="K190" s="34">
        <f t="shared" si="101"/>
        <v>6686.2161599999999</v>
      </c>
      <c r="L190" s="34">
        <f t="shared" si="101"/>
        <v>6686.2161599999999</v>
      </c>
      <c r="M190" s="34">
        <f t="shared" si="101"/>
        <v>6686.2161599999999</v>
      </c>
      <c r="N190" s="34">
        <f t="shared" si="101"/>
        <v>6686.2161599999999</v>
      </c>
      <c r="O190" s="34"/>
      <c r="P190" s="34"/>
    </row>
    <row r="191" spans="2:28" x14ac:dyDescent="0.25">
      <c r="B191" s="59" t="s">
        <v>139</v>
      </c>
      <c r="C191" s="59">
        <f>Y174+C190*0.5</f>
        <v>6588.8440800000008</v>
      </c>
      <c r="D191" s="59">
        <f t="shared" ref="D191:N191" si="102">C190*0.5+D190*0.5</f>
        <v>6686.2161599999999</v>
      </c>
      <c r="E191" s="59">
        <f t="shared" si="102"/>
        <v>6686.2161599999999</v>
      </c>
      <c r="F191" s="59">
        <f t="shared" si="102"/>
        <v>6686.2161599999999</v>
      </c>
      <c r="G191" s="59">
        <f t="shared" si="102"/>
        <v>6686.2161599999999</v>
      </c>
      <c r="H191" s="59">
        <f t="shared" si="102"/>
        <v>6686.2161599999999</v>
      </c>
      <c r="I191" s="59">
        <f t="shared" si="102"/>
        <v>6686.2161599999999</v>
      </c>
      <c r="J191" s="59">
        <f t="shared" si="102"/>
        <v>6686.2161599999999</v>
      </c>
      <c r="K191" s="59">
        <f t="shared" si="102"/>
        <v>6686.2161599999999</v>
      </c>
      <c r="L191" s="59">
        <f t="shared" si="102"/>
        <v>6686.2161599999999</v>
      </c>
      <c r="M191" s="59">
        <f t="shared" si="102"/>
        <v>6686.2161599999999</v>
      </c>
      <c r="N191" s="59">
        <f t="shared" si="102"/>
        <v>6686.2161599999999</v>
      </c>
      <c r="O191" s="60" t="s">
        <v>72</v>
      </c>
      <c r="P191" s="61">
        <f>N190*0.5</f>
        <v>3343.10808</v>
      </c>
    </row>
    <row r="194" spans="2:16" x14ac:dyDescent="0.25">
      <c r="B194" s="288" t="s">
        <v>155</v>
      </c>
      <c r="C194" s="288"/>
      <c r="D194" s="288"/>
      <c r="E194" s="288"/>
      <c r="F194" s="288"/>
      <c r="G194" s="288"/>
      <c r="H194" s="288"/>
      <c r="I194" s="288"/>
      <c r="J194" s="288"/>
      <c r="K194" s="288"/>
      <c r="L194" s="288"/>
      <c r="M194" s="288"/>
      <c r="N194" s="288"/>
      <c r="O194" s="288"/>
      <c r="P194" s="288"/>
    </row>
    <row r="195" spans="2:16" x14ac:dyDescent="0.25">
      <c r="B195" s="213"/>
      <c r="C195" s="215" t="s">
        <v>50</v>
      </c>
      <c r="D195" s="215" t="s">
        <v>51</v>
      </c>
      <c r="E195" s="215" t="s">
        <v>52</v>
      </c>
      <c r="F195" s="215" t="s">
        <v>53</v>
      </c>
      <c r="G195" s="215" t="s">
        <v>54</v>
      </c>
      <c r="H195" s="215" t="s">
        <v>55</v>
      </c>
      <c r="I195" s="215" t="s">
        <v>56</v>
      </c>
      <c r="J195" s="215" t="s">
        <v>57</v>
      </c>
      <c r="K195" s="215" t="s">
        <v>58</v>
      </c>
      <c r="L195" s="215" t="s">
        <v>59</v>
      </c>
      <c r="M195" s="215" t="s">
        <v>60</v>
      </c>
      <c r="N195" s="215" t="s">
        <v>61</v>
      </c>
      <c r="O195" s="220" t="s">
        <v>62</v>
      </c>
      <c r="P195" s="221"/>
    </row>
    <row r="196" spans="2:16" x14ac:dyDescent="0.25">
      <c r="B196" s="214"/>
      <c r="C196" s="216"/>
      <c r="D196" s="216"/>
      <c r="E196" s="216"/>
      <c r="F196" s="216"/>
      <c r="G196" s="216"/>
      <c r="H196" s="216"/>
      <c r="I196" s="216"/>
      <c r="J196" s="216"/>
      <c r="K196" s="216"/>
      <c r="L196" s="216"/>
      <c r="M196" s="216"/>
      <c r="N196" s="216"/>
      <c r="O196" s="58" t="s">
        <v>64</v>
      </c>
      <c r="P196" s="58" t="s">
        <v>65</v>
      </c>
    </row>
    <row r="197" spans="2:16" x14ac:dyDescent="0.25">
      <c r="B197" s="34" t="s">
        <v>77</v>
      </c>
      <c r="C197" s="34">
        <f t="shared" ref="C197:N197" si="103">C188*32%</f>
        <v>1782.990976</v>
      </c>
      <c r="D197" s="34">
        <f t="shared" si="103"/>
        <v>1782.990976</v>
      </c>
      <c r="E197" s="34">
        <f t="shared" si="103"/>
        <v>1782.990976</v>
      </c>
      <c r="F197" s="34">
        <f t="shared" si="103"/>
        <v>1782.990976</v>
      </c>
      <c r="G197" s="34">
        <f t="shared" si="103"/>
        <v>1782.990976</v>
      </c>
      <c r="H197" s="34">
        <f t="shared" si="103"/>
        <v>1782.990976</v>
      </c>
      <c r="I197" s="34">
        <f t="shared" si="103"/>
        <v>1782.990976</v>
      </c>
      <c r="J197" s="34">
        <f t="shared" si="103"/>
        <v>1782.990976</v>
      </c>
      <c r="K197" s="34">
        <f t="shared" si="103"/>
        <v>1782.990976</v>
      </c>
      <c r="L197" s="34">
        <f t="shared" si="103"/>
        <v>1782.990976</v>
      </c>
      <c r="M197" s="34">
        <f t="shared" si="103"/>
        <v>1782.990976</v>
      </c>
      <c r="N197" s="34">
        <f t="shared" si="103"/>
        <v>1782.990976</v>
      </c>
      <c r="O197" s="60" t="s">
        <v>78</v>
      </c>
      <c r="P197" s="61">
        <f>SUM(C197:N197)</f>
        <v>21395.891712000008</v>
      </c>
    </row>
    <row r="198" spans="2:16" x14ac:dyDescent="0.25">
      <c r="B198" s="34" t="s">
        <v>79</v>
      </c>
      <c r="C198" s="34">
        <f t="shared" ref="C198:N198" si="104">C197*20%</f>
        <v>356.59819520000002</v>
      </c>
      <c r="D198" s="34">
        <f t="shared" si="104"/>
        <v>356.59819520000002</v>
      </c>
      <c r="E198" s="34">
        <f t="shared" si="104"/>
        <v>356.59819520000002</v>
      </c>
      <c r="F198" s="34">
        <f t="shared" si="104"/>
        <v>356.59819520000002</v>
      </c>
      <c r="G198" s="34">
        <f t="shared" si="104"/>
        <v>356.59819520000002</v>
      </c>
      <c r="H198" s="34">
        <f t="shared" si="104"/>
        <v>356.59819520000002</v>
      </c>
      <c r="I198" s="34">
        <f t="shared" si="104"/>
        <v>356.59819520000002</v>
      </c>
      <c r="J198" s="34">
        <f t="shared" si="104"/>
        <v>356.59819520000002</v>
      </c>
      <c r="K198" s="34">
        <f t="shared" si="104"/>
        <v>356.59819520000002</v>
      </c>
      <c r="L198" s="34">
        <f t="shared" si="104"/>
        <v>356.59819520000002</v>
      </c>
      <c r="M198" s="34">
        <f t="shared" si="104"/>
        <v>356.59819520000002</v>
      </c>
      <c r="N198" s="34">
        <f t="shared" si="104"/>
        <v>356.59819520000002</v>
      </c>
      <c r="O198" s="34"/>
      <c r="P198" s="34"/>
    </row>
    <row r="199" spans="2:16" x14ac:dyDescent="0.25">
      <c r="B199" s="34" t="s">
        <v>80</v>
      </c>
      <c r="C199" s="34">
        <f t="shared" ref="C199:N199" si="105">C197+C198</f>
        <v>2139.5891712000002</v>
      </c>
      <c r="D199" s="34">
        <f t="shared" si="105"/>
        <v>2139.5891712000002</v>
      </c>
      <c r="E199" s="34">
        <f t="shared" si="105"/>
        <v>2139.5891712000002</v>
      </c>
      <c r="F199" s="34">
        <f t="shared" si="105"/>
        <v>2139.5891712000002</v>
      </c>
      <c r="G199" s="34">
        <f t="shared" si="105"/>
        <v>2139.5891712000002</v>
      </c>
      <c r="H199" s="34">
        <f t="shared" si="105"/>
        <v>2139.5891712000002</v>
      </c>
      <c r="I199" s="34">
        <f t="shared" si="105"/>
        <v>2139.5891712000002</v>
      </c>
      <c r="J199" s="34">
        <f t="shared" si="105"/>
        <v>2139.5891712000002</v>
      </c>
      <c r="K199" s="34">
        <f t="shared" si="105"/>
        <v>2139.5891712000002</v>
      </c>
      <c r="L199" s="34">
        <f t="shared" si="105"/>
        <v>2139.5891712000002</v>
      </c>
      <c r="M199" s="34">
        <f t="shared" si="105"/>
        <v>2139.5891712000002</v>
      </c>
      <c r="N199" s="34">
        <f t="shared" si="105"/>
        <v>2139.5891712000002</v>
      </c>
      <c r="O199" s="34"/>
      <c r="P199" s="34"/>
    </row>
    <row r="200" spans="2:16" x14ac:dyDescent="0.25">
      <c r="B200" s="59" t="s">
        <v>81</v>
      </c>
      <c r="C200" s="59">
        <f t="shared" ref="C200:N200" si="106">C199</f>
        <v>2139.5891712000002</v>
      </c>
      <c r="D200" s="59">
        <f t="shared" si="106"/>
        <v>2139.5891712000002</v>
      </c>
      <c r="E200" s="59">
        <f t="shared" si="106"/>
        <v>2139.5891712000002</v>
      </c>
      <c r="F200" s="59">
        <f t="shared" si="106"/>
        <v>2139.5891712000002</v>
      </c>
      <c r="G200" s="59">
        <f t="shared" si="106"/>
        <v>2139.5891712000002</v>
      </c>
      <c r="H200" s="59">
        <f t="shared" si="106"/>
        <v>2139.5891712000002</v>
      </c>
      <c r="I200" s="59">
        <f t="shared" si="106"/>
        <v>2139.5891712000002</v>
      </c>
      <c r="J200" s="59">
        <f t="shared" si="106"/>
        <v>2139.5891712000002</v>
      </c>
      <c r="K200" s="59">
        <f t="shared" si="106"/>
        <v>2139.5891712000002</v>
      </c>
      <c r="L200" s="59">
        <f t="shared" si="106"/>
        <v>2139.5891712000002</v>
      </c>
      <c r="M200" s="59">
        <f t="shared" si="106"/>
        <v>2139.5891712000002</v>
      </c>
      <c r="N200" s="59">
        <f t="shared" si="106"/>
        <v>2139.5891712000002</v>
      </c>
      <c r="O200" s="60" t="s">
        <v>82</v>
      </c>
      <c r="P200" s="61">
        <v>0</v>
      </c>
    </row>
    <row r="203" spans="2:16" x14ac:dyDescent="0.25">
      <c r="B203" s="288" t="s">
        <v>156</v>
      </c>
      <c r="C203" s="288"/>
      <c r="D203" s="288"/>
      <c r="E203" s="288"/>
      <c r="F203" s="288"/>
      <c r="G203" s="288"/>
      <c r="H203" s="288"/>
      <c r="I203" s="288"/>
      <c r="J203" s="288"/>
      <c r="K203" s="288"/>
      <c r="L203" s="288"/>
      <c r="M203" s="288"/>
      <c r="N203" s="288"/>
      <c r="O203" s="288"/>
      <c r="P203" s="288"/>
    </row>
    <row r="204" spans="2:16" x14ac:dyDescent="0.25">
      <c r="B204" s="213"/>
      <c r="C204" s="215" t="s">
        <v>50</v>
      </c>
      <c r="D204" s="215" t="s">
        <v>51</v>
      </c>
      <c r="E204" s="215" t="s">
        <v>52</v>
      </c>
      <c r="F204" s="215" t="s">
        <v>53</v>
      </c>
      <c r="G204" s="215" t="s">
        <v>54</v>
      </c>
      <c r="H204" s="215" t="s">
        <v>55</v>
      </c>
      <c r="I204" s="215" t="s">
        <v>56</v>
      </c>
      <c r="J204" s="215" t="s">
        <v>57</v>
      </c>
      <c r="K204" s="215" t="s">
        <v>58</v>
      </c>
      <c r="L204" s="215" t="s">
        <v>59</v>
      </c>
      <c r="M204" s="215" t="s">
        <v>60</v>
      </c>
      <c r="N204" s="215" t="s">
        <v>61</v>
      </c>
      <c r="O204" s="220" t="s">
        <v>62</v>
      </c>
      <c r="P204" s="221"/>
    </row>
    <row r="205" spans="2:16" ht="17.25" customHeight="1" x14ac:dyDescent="0.25">
      <c r="B205" s="231"/>
      <c r="C205" s="232"/>
      <c r="D205" s="232"/>
      <c r="E205" s="232"/>
      <c r="F205" s="232"/>
      <c r="G205" s="232"/>
      <c r="H205" s="232"/>
      <c r="I205" s="232"/>
      <c r="J205" s="232"/>
      <c r="K205" s="232"/>
      <c r="L205" s="232"/>
      <c r="M205" s="232"/>
      <c r="N205" s="232"/>
      <c r="O205" s="58" t="s">
        <v>64</v>
      </c>
      <c r="P205" s="58" t="s">
        <v>65</v>
      </c>
    </row>
    <row r="206" spans="2:16" x14ac:dyDescent="0.25">
      <c r="B206" s="21" t="s">
        <v>84</v>
      </c>
      <c r="C206" s="21">
        <v>7100</v>
      </c>
      <c r="D206" s="21">
        <v>7100</v>
      </c>
      <c r="E206" s="21">
        <v>7100</v>
      </c>
      <c r="F206" s="21">
        <v>7100</v>
      </c>
      <c r="G206" s="21">
        <v>7100</v>
      </c>
      <c r="H206" s="21">
        <v>7100</v>
      </c>
      <c r="I206" s="21">
        <v>7100</v>
      </c>
      <c r="J206" s="21">
        <v>7100</v>
      </c>
      <c r="K206" s="21">
        <v>7100</v>
      </c>
      <c r="L206" s="21">
        <v>7100</v>
      </c>
      <c r="M206" s="21">
        <v>7100</v>
      </c>
      <c r="N206" s="22">
        <v>7100</v>
      </c>
      <c r="O206" s="60" t="s">
        <v>85</v>
      </c>
      <c r="P206" s="61">
        <f>SUM(C206:N206)</f>
        <v>85200</v>
      </c>
    </row>
    <row r="207" spans="2:16" x14ac:dyDescent="0.25">
      <c r="B207" s="21" t="s">
        <v>86</v>
      </c>
      <c r="C207" s="31">
        <f t="shared" ref="C207:N207" si="107">C206*20%</f>
        <v>1420</v>
      </c>
      <c r="D207" s="31">
        <f t="shared" si="107"/>
        <v>1420</v>
      </c>
      <c r="E207" s="31">
        <f t="shared" si="107"/>
        <v>1420</v>
      </c>
      <c r="F207" s="31">
        <f t="shared" si="107"/>
        <v>1420</v>
      </c>
      <c r="G207" s="31">
        <f t="shared" si="107"/>
        <v>1420</v>
      </c>
      <c r="H207" s="31">
        <f t="shared" si="107"/>
        <v>1420</v>
      </c>
      <c r="I207" s="31">
        <f t="shared" si="107"/>
        <v>1420</v>
      </c>
      <c r="J207" s="31">
        <f t="shared" si="107"/>
        <v>1420</v>
      </c>
      <c r="K207" s="31">
        <f t="shared" si="107"/>
        <v>1420</v>
      </c>
      <c r="L207" s="31">
        <f t="shared" si="107"/>
        <v>1420</v>
      </c>
      <c r="M207" s="31">
        <f t="shared" si="107"/>
        <v>1420</v>
      </c>
      <c r="N207" s="32">
        <f t="shared" si="107"/>
        <v>1420</v>
      </c>
      <c r="O207" s="114"/>
      <c r="P207" s="138"/>
    </row>
    <row r="208" spans="2:16" x14ac:dyDescent="0.25">
      <c r="B208" s="142" t="s">
        <v>223</v>
      </c>
      <c r="C208" s="21">
        <f t="shared" ref="C208:N208" si="108">$P$208/12</f>
        <v>308.03571428571428</v>
      </c>
      <c r="D208" s="21">
        <f t="shared" si="108"/>
        <v>308.03571428571428</v>
      </c>
      <c r="E208" s="21">
        <f t="shared" si="108"/>
        <v>308.03571428571428</v>
      </c>
      <c r="F208" s="21">
        <f t="shared" si="108"/>
        <v>308.03571428571428</v>
      </c>
      <c r="G208" s="21">
        <f t="shared" si="108"/>
        <v>308.03571428571428</v>
      </c>
      <c r="H208" s="21">
        <f t="shared" si="108"/>
        <v>308.03571428571428</v>
      </c>
      <c r="I208" s="21">
        <f t="shared" si="108"/>
        <v>308.03571428571428</v>
      </c>
      <c r="J208" s="21">
        <f t="shared" si="108"/>
        <v>308.03571428571428</v>
      </c>
      <c r="K208" s="21">
        <f t="shared" si="108"/>
        <v>308.03571428571428</v>
      </c>
      <c r="L208" s="21">
        <f t="shared" si="108"/>
        <v>308.03571428571428</v>
      </c>
      <c r="M208" s="21">
        <f t="shared" si="108"/>
        <v>308.03571428571428</v>
      </c>
      <c r="N208" s="21">
        <f t="shared" si="108"/>
        <v>308.03571428571428</v>
      </c>
      <c r="O208" s="140"/>
      <c r="P208" s="141">
        <f>Emprunt!S6</f>
        <v>3696.4285714285711</v>
      </c>
    </row>
    <row r="209" spans="2:16" x14ac:dyDescent="0.25">
      <c r="B209" s="142" t="s">
        <v>229</v>
      </c>
      <c r="C209" s="21">
        <f t="shared" ref="C209:N209" si="109">$P$209/12</f>
        <v>162.91666666666666</v>
      </c>
      <c r="D209" s="21">
        <f t="shared" si="109"/>
        <v>162.91666666666666</v>
      </c>
      <c r="E209" s="21">
        <f t="shared" si="109"/>
        <v>162.91666666666666</v>
      </c>
      <c r="F209" s="21">
        <f t="shared" si="109"/>
        <v>162.91666666666666</v>
      </c>
      <c r="G209" s="21">
        <f t="shared" si="109"/>
        <v>162.91666666666666</v>
      </c>
      <c r="H209" s="21">
        <f t="shared" si="109"/>
        <v>162.91666666666666</v>
      </c>
      <c r="I209" s="21">
        <f t="shared" si="109"/>
        <v>162.91666666666666</v>
      </c>
      <c r="J209" s="21">
        <f t="shared" si="109"/>
        <v>162.91666666666666</v>
      </c>
      <c r="K209" s="21">
        <f t="shared" si="109"/>
        <v>162.91666666666666</v>
      </c>
      <c r="L209" s="21">
        <f t="shared" si="109"/>
        <v>162.91666666666666</v>
      </c>
      <c r="M209" s="21">
        <f t="shared" si="109"/>
        <v>162.91666666666666</v>
      </c>
      <c r="N209" s="21">
        <f t="shared" si="109"/>
        <v>162.91666666666666</v>
      </c>
      <c r="O209" s="140"/>
      <c r="P209" s="141">
        <f>Emprunt!S15</f>
        <v>1954.9999999999998</v>
      </c>
    </row>
    <row r="210" spans="2:16" x14ac:dyDescent="0.25">
      <c r="B210" s="142" t="s">
        <v>231</v>
      </c>
      <c r="C210" s="21">
        <f t="shared" ref="C210:N210" si="110">$P$210/12</f>
        <v>306.66666666666663</v>
      </c>
      <c r="D210" s="21">
        <f t="shared" si="110"/>
        <v>306.66666666666663</v>
      </c>
      <c r="E210" s="21">
        <f t="shared" si="110"/>
        <v>306.66666666666663</v>
      </c>
      <c r="F210" s="21">
        <f t="shared" si="110"/>
        <v>306.66666666666663</v>
      </c>
      <c r="G210" s="21">
        <f t="shared" si="110"/>
        <v>306.66666666666663</v>
      </c>
      <c r="H210" s="21">
        <f t="shared" si="110"/>
        <v>306.66666666666663</v>
      </c>
      <c r="I210" s="21">
        <f t="shared" si="110"/>
        <v>306.66666666666663</v>
      </c>
      <c r="J210" s="21">
        <f t="shared" si="110"/>
        <v>306.66666666666663</v>
      </c>
      <c r="K210" s="21">
        <f t="shared" si="110"/>
        <v>306.66666666666663</v>
      </c>
      <c r="L210" s="21">
        <f t="shared" si="110"/>
        <v>306.66666666666663</v>
      </c>
      <c r="M210" s="21">
        <f t="shared" si="110"/>
        <v>306.66666666666663</v>
      </c>
      <c r="N210" s="21">
        <f t="shared" si="110"/>
        <v>306.66666666666663</v>
      </c>
      <c r="O210" s="140"/>
      <c r="P210" s="141">
        <f>Emprunt!S28</f>
        <v>3679.9999999999995</v>
      </c>
    </row>
    <row r="211" spans="2:16" x14ac:dyDescent="0.25">
      <c r="B211" s="22" t="s">
        <v>232</v>
      </c>
      <c r="C211" s="21">
        <f>SUM(C209:C210)*0.2</f>
        <v>93.916666666666657</v>
      </c>
      <c r="D211" s="21">
        <f t="shared" ref="D211:N211" si="111">SUM(D209:D210)*0.2</f>
        <v>93.916666666666657</v>
      </c>
      <c r="E211" s="21">
        <f t="shared" si="111"/>
        <v>93.916666666666657</v>
      </c>
      <c r="F211" s="21">
        <f t="shared" si="111"/>
        <v>93.916666666666657</v>
      </c>
      <c r="G211" s="21">
        <f t="shared" si="111"/>
        <v>93.916666666666657</v>
      </c>
      <c r="H211" s="21">
        <f t="shared" si="111"/>
        <v>93.916666666666657</v>
      </c>
      <c r="I211" s="21">
        <f t="shared" si="111"/>
        <v>93.916666666666657</v>
      </c>
      <c r="J211" s="21">
        <f t="shared" si="111"/>
        <v>93.916666666666657</v>
      </c>
      <c r="K211" s="21">
        <f t="shared" si="111"/>
        <v>93.916666666666657</v>
      </c>
      <c r="L211" s="21">
        <f t="shared" si="111"/>
        <v>93.916666666666657</v>
      </c>
      <c r="M211" s="21">
        <f t="shared" si="111"/>
        <v>93.916666666666657</v>
      </c>
      <c r="N211" s="21">
        <f t="shared" si="111"/>
        <v>93.916666666666657</v>
      </c>
      <c r="O211" s="140"/>
      <c r="P211" s="141"/>
    </row>
    <row r="212" spans="2:16" x14ac:dyDescent="0.25">
      <c r="B212" s="23" t="s">
        <v>87</v>
      </c>
      <c r="C212" s="139">
        <f t="shared" ref="C212:N212" si="112">SUM(C206:C211)</f>
        <v>9391.5357142857119</v>
      </c>
      <c r="D212" s="139">
        <f t="shared" si="112"/>
        <v>9391.5357142857119</v>
      </c>
      <c r="E212" s="139">
        <f t="shared" si="112"/>
        <v>9391.5357142857119</v>
      </c>
      <c r="F212" s="139">
        <f t="shared" si="112"/>
        <v>9391.5357142857119</v>
      </c>
      <c r="G212" s="139">
        <f t="shared" si="112"/>
        <v>9391.5357142857119</v>
      </c>
      <c r="H212" s="139">
        <f t="shared" si="112"/>
        <v>9391.5357142857119</v>
      </c>
      <c r="I212" s="139">
        <f t="shared" si="112"/>
        <v>9391.5357142857119</v>
      </c>
      <c r="J212" s="139">
        <f t="shared" si="112"/>
        <v>9391.5357142857119</v>
      </c>
      <c r="K212" s="139">
        <f t="shared" si="112"/>
        <v>9391.5357142857119</v>
      </c>
      <c r="L212" s="139">
        <f t="shared" si="112"/>
        <v>9391.5357142857119</v>
      </c>
      <c r="M212" s="139">
        <f t="shared" si="112"/>
        <v>9391.5357142857119</v>
      </c>
      <c r="N212" s="139">
        <f t="shared" si="112"/>
        <v>9391.5357142857119</v>
      </c>
      <c r="O212" s="37"/>
      <c r="P212" s="37"/>
    </row>
    <row r="213" spans="2:16" x14ac:dyDescent="0.25">
      <c r="B213" s="59" t="s">
        <v>81</v>
      </c>
      <c r="C213" s="59">
        <f t="shared" ref="C213:N213" si="113">C212</f>
        <v>9391.5357142857119</v>
      </c>
      <c r="D213" s="59">
        <f t="shared" si="113"/>
        <v>9391.5357142857119</v>
      </c>
      <c r="E213" s="59">
        <f t="shared" si="113"/>
        <v>9391.5357142857119</v>
      </c>
      <c r="F213" s="59">
        <f t="shared" si="113"/>
        <v>9391.5357142857119</v>
      </c>
      <c r="G213" s="59">
        <f t="shared" si="113"/>
        <v>9391.5357142857119</v>
      </c>
      <c r="H213" s="59">
        <f t="shared" si="113"/>
        <v>9391.5357142857119</v>
      </c>
      <c r="I213" s="59">
        <f t="shared" si="113"/>
        <v>9391.5357142857119</v>
      </c>
      <c r="J213" s="59">
        <f t="shared" si="113"/>
        <v>9391.5357142857119</v>
      </c>
      <c r="K213" s="59">
        <f t="shared" si="113"/>
        <v>9391.5357142857119</v>
      </c>
      <c r="L213" s="59">
        <f t="shared" si="113"/>
        <v>9391.5357142857119</v>
      </c>
      <c r="M213" s="59">
        <f t="shared" si="113"/>
        <v>9391.5357142857119</v>
      </c>
      <c r="N213" s="59">
        <f t="shared" si="113"/>
        <v>9391.5357142857119</v>
      </c>
      <c r="O213" s="47"/>
      <c r="P213" s="34"/>
    </row>
    <row r="214" spans="2:16" x14ac:dyDescent="0.25">
      <c r="B214" s="28" t="s">
        <v>89</v>
      </c>
      <c r="C214" s="21"/>
      <c r="D214" s="21"/>
      <c r="E214" s="21"/>
      <c r="F214" s="21"/>
      <c r="G214" s="21"/>
      <c r="H214" s="21"/>
      <c r="I214" s="21"/>
      <c r="J214" s="21"/>
      <c r="K214" s="21"/>
      <c r="L214" s="21"/>
      <c r="M214" s="21"/>
      <c r="N214" s="22">
        <v>7500</v>
      </c>
      <c r="O214" s="47"/>
      <c r="P214" s="48"/>
    </row>
    <row r="215" spans="2:16" x14ac:dyDescent="0.25">
      <c r="B215" s="59" t="s">
        <v>94</v>
      </c>
      <c r="C215" s="59">
        <f>C214</f>
        <v>0</v>
      </c>
      <c r="D215" s="59">
        <f t="shared" ref="D215:N215" si="114">D214</f>
        <v>0</v>
      </c>
      <c r="E215" s="59">
        <f t="shared" si="114"/>
        <v>0</v>
      </c>
      <c r="F215" s="59">
        <f t="shared" si="114"/>
        <v>0</v>
      </c>
      <c r="G215" s="59">
        <f t="shared" si="114"/>
        <v>0</v>
      </c>
      <c r="H215" s="59">
        <f t="shared" si="114"/>
        <v>0</v>
      </c>
      <c r="I215" s="59">
        <f t="shared" si="114"/>
        <v>0</v>
      </c>
      <c r="J215" s="59">
        <f t="shared" si="114"/>
        <v>0</v>
      </c>
      <c r="K215" s="59">
        <f t="shared" si="114"/>
        <v>0</v>
      </c>
      <c r="L215" s="59">
        <f t="shared" si="114"/>
        <v>0</v>
      </c>
      <c r="M215" s="59">
        <f t="shared" si="114"/>
        <v>0</v>
      </c>
      <c r="N215" s="59">
        <f t="shared" si="114"/>
        <v>7500</v>
      </c>
      <c r="O215" s="60" t="s">
        <v>93</v>
      </c>
      <c r="P215" s="61">
        <f>SUM(C215:N215)</f>
        <v>7500</v>
      </c>
    </row>
    <row r="216" spans="2:16" x14ac:dyDescent="0.25">
      <c r="B216" s="21" t="s">
        <v>95</v>
      </c>
      <c r="C216" s="21">
        <f t="shared" ref="C216:N216" si="115">307500/12</f>
        <v>25625</v>
      </c>
      <c r="D216" s="21">
        <f t="shared" si="115"/>
        <v>25625</v>
      </c>
      <c r="E216" s="21">
        <f t="shared" si="115"/>
        <v>25625</v>
      </c>
      <c r="F216" s="21">
        <f t="shared" si="115"/>
        <v>25625</v>
      </c>
      <c r="G216" s="21">
        <f t="shared" si="115"/>
        <v>25625</v>
      </c>
      <c r="H216" s="21">
        <f t="shared" si="115"/>
        <v>25625</v>
      </c>
      <c r="I216" s="21">
        <f t="shared" si="115"/>
        <v>25625</v>
      </c>
      <c r="J216" s="21">
        <f t="shared" si="115"/>
        <v>25625</v>
      </c>
      <c r="K216" s="21">
        <f t="shared" si="115"/>
        <v>25625</v>
      </c>
      <c r="L216" s="21">
        <f t="shared" si="115"/>
        <v>25625</v>
      </c>
      <c r="M216" s="21">
        <f t="shared" si="115"/>
        <v>25625</v>
      </c>
      <c r="N216" s="22">
        <f t="shared" si="115"/>
        <v>25625</v>
      </c>
      <c r="O216" s="47"/>
      <c r="P216" s="48"/>
    </row>
    <row r="217" spans="2:16" x14ac:dyDescent="0.25">
      <c r="B217" s="59" t="s">
        <v>96</v>
      </c>
      <c r="C217" s="59">
        <f t="shared" ref="C217:N217" si="116">C216</f>
        <v>25625</v>
      </c>
      <c r="D217" s="59">
        <f t="shared" si="116"/>
        <v>25625</v>
      </c>
      <c r="E217" s="59">
        <f t="shared" si="116"/>
        <v>25625</v>
      </c>
      <c r="F217" s="59">
        <f t="shared" si="116"/>
        <v>25625</v>
      </c>
      <c r="G217" s="59">
        <f t="shared" si="116"/>
        <v>25625</v>
      </c>
      <c r="H217" s="59">
        <f t="shared" si="116"/>
        <v>25625</v>
      </c>
      <c r="I217" s="59">
        <f t="shared" si="116"/>
        <v>25625</v>
      </c>
      <c r="J217" s="59">
        <f t="shared" si="116"/>
        <v>25625</v>
      </c>
      <c r="K217" s="59">
        <f t="shared" si="116"/>
        <v>25625</v>
      </c>
      <c r="L217" s="59">
        <f t="shared" si="116"/>
        <v>25625</v>
      </c>
      <c r="M217" s="59">
        <f t="shared" si="116"/>
        <v>25625</v>
      </c>
      <c r="N217" s="59">
        <f t="shared" si="116"/>
        <v>25625</v>
      </c>
      <c r="O217" s="60" t="s">
        <v>97</v>
      </c>
      <c r="P217" s="61">
        <f>SUM(C217:N217)</f>
        <v>307500</v>
      </c>
    </row>
    <row r="218" spans="2:16" x14ac:dyDescent="0.25">
      <c r="B218" s="21" t="s">
        <v>21</v>
      </c>
      <c r="C218" s="21">
        <f t="shared" ref="C218:N218" si="117">C216*0.4</f>
        <v>10250</v>
      </c>
      <c r="D218" s="21">
        <f t="shared" si="117"/>
        <v>10250</v>
      </c>
      <c r="E218" s="21">
        <f t="shared" si="117"/>
        <v>10250</v>
      </c>
      <c r="F218" s="21">
        <f t="shared" si="117"/>
        <v>10250</v>
      </c>
      <c r="G218" s="21">
        <f t="shared" si="117"/>
        <v>10250</v>
      </c>
      <c r="H218" s="21">
        <f t="shared" si="117"/>
        <v>10250</v>
      </c>
      <c r="I218" s="21">
        <f t="shared" si="117"/>
        <v>10250</v>
      </c>
      <c r="J218" s="21">
        <f t="shared" si="117"/>
        <v>10250</v>
      </c>
      <c r="K218" s="21">
        <f t="shared" si="117"/>
        <v>10250</v>
      </c>
      <c r="L218" s="21">
        <f t="shared" si="117"/>
        <v>10250</v>
      </c>
      <c r="M218" s="21">
        <f t="shared" si="117"/>
        <v>10250</v>
      </c>
      <c r="N218" s="22">
        <f t="shared" si="117"/>
        <v>10250</v>
      </c>
      <c r="O218" s="60" t="s">
        <v>98</v>
      </c>
      <c r="P218" s="61">
        <f>SUM(C218:N218)</f>
        <v>123000</v>
      </c>
    </row>
    <row r="219" spans="2:16" x14ac:dyDescent="0.25">
      <c r="B219" s="59" t="s">
        <v>99</v>
      </c>
      <c r="C219" s="59">
        <f>P127</f>
        <v>10250</v>
      </c>
      <c r="D219" s="59">
        <f t="shared" ref="D219:N219" si="118">C218</f>
        <v>10250</v>
      </c>
      <c r="E219" s="59">
        <f t="shared" si="118"/>
        <v>10250</v>
      </c>
      <c r="F219" s="59">
        <f t="shared" si="118"/>
        <v>10250</v>
      </c>
      <c r="G219" s="59">
        <f t="shared" si="118"/>
        <v>10250</v>
      </c>
      <c r="H219" s="59">
        <f t="shared" si="118"/>
        <v>10250</v>
      </c>
      <c r="I219" s="59">
        <f t="shared" si="118"/>
        <v>10250</v>
      </c>
      <c r="J219" s="59">
        <f t="shared" si="118"/>
        <v>10250</v>
      </c>
      <c r="K219" s="59">
        <f t="shared" si="118"/>
        <v>10250</v>
      </c>
      <c r="L219" s="59">
        <f t="shared" si="118"/>
        <v>10250</v>
      </c>
      <c r="M219" s="59">
        <f t="shared" si="118"/>
        <v>10250</v>
      </c>
      <c r="N219" s="59">
        <f t="shared" si="118"/>
        <v>10250</v>
      </c>
      <c r="O219" s="60" t="s">
        <v>100</v>
      </c>
      <c r="P219" s="61">
        <f>N218</f>
        <v>10250</v>
      </c>
    </row>
    <row r="222" spans="2:16" x14ac:dyDescent="0.25">
      <c r="B222" s="288" t="s">
        <v>160</v>
      </c>
      <c r="C222" s="288"/>
      <c r="D222" s="288"/>
      <c r="E222" s="288"/>
      <c r="F222" s="288"/>
      <c r="G222" s="288"/>
      <c r="H222" s="288"/>
      <c r="I222" s="288"/>
      <c r="J222" s="288"/>
      <c r="K222" s="288"/>
      <c r="L222" s="288"/>
      <c r="M222" s="288"/>
      <c r="N222" s="288"/>
      <c r="O222" s="288"/>
      <c r="P222" s="288"/>
    </row>
    <row r="223" spans="2:16" x14ac:dyDescent="0.25">
      <c r="B223" s="213"/>
      <c r="C223" s="215" t="s">
        <v>50</v>
      </c>
      <c r="D223" s="215" t="s">
        <v>51</v>
      </c>
      <c r="E223" s="215" t="s">
        <v>52</v>
      </c>
      <c r="F223" s="215" t="s">
        <v>53</v>
      </c>
      <c r="G223" s="215" t="s">
        <v>54</v>
      </c>
      <c r="H223" s="215" t="s">
        <v>55</v>
      </c>
      <c r="I223" s="215" t="s">
        <v>56</v>
      </c>
      <c r="J223" s="215" t="s">
        <v>57</v>
      </c>
      <c r="K223" s="215" t="s">
        <v>58</v>
      </c>
      <c r="L223" s="215" t="s">
        <v>59</v>
      </c>
      <c r="M223" s="215" t="s">
        <v>60</v>
      </c>
      <c r="N223" s="215" t="s">
        <v>61</v>
      </c>
      <c r="O223" s="220" t="s">
        <v>62</v>
      </c>
      <c r="P223" s="221"/>
    </row>
    <row r="224" spans="2:16" x14ac:dyDescent="0.25">
      <c r="B224" s="214"/>
      <c r="C224" s="216"/>
      <c r="D224" s="216"/>
      <c r="E224" s="216"/>
      <c r="F224" s="216"/>
      <c r="G224" s="216"/>
      <c r="H224" s="216"/>
      <c r="I224" s="216"/>
      <c r="J224" s="216"/>
      <c r="K224" s="216"/>
      <c r="L224" s="216"/>
      <c r="M224" s="216"/>
      <c r="N224" s="216"/>
      <c r="O224" s="58" t="s">
        <v>64</v>
      </c>
      <c r="P224" s="58" t="s">
        <v>65</v>
      </c>
    </row>
    <row r="225" spans="2:16" x14ac:dyDescent="0.25">
      <c r="B225" s="46" t="s">
        <v>102</v>
      </c>
      <c r="C225" s="34"/>
      <c r="D225" s="34"/>
      <c r="E225" s="34"/>
      <c r="F225" s="34"/>
      <c r="G225" s="34"/>
      <c r="H225" s="34"/>
      <c r="I225" s="34"/>
      <c r="J225" s="34"/>
      <c r="K225" s="34"/>
      <c r="L225" s="34">
        <v>8200</v>
      </c>
      <c r="M225" s="34"/>
      <c r="N225" s="34"/>
      <c r="O225" s="60" t="s">
        <v>103</v>
      </c>
      <c r="P225" s="61">
        <f>SUM(C225:N225)</f>
        <v>8200</v>
      </c>
    </row>
    <row r="226" spans="2:16" x14ac:dyDescent="0.25">
      <c r="B226" s="119" t="s">
        <v>105</v>
      </c>
      <c r="C226" s="119"/>
      <c r="D226" s="119"/>
      <c r="E226" s="119"/>
      <c r="F226" s="119"/>
      <c r="G226" s="119"/>
      <c r="H226" s="119"/>
      <c r="I226" s="119"/>
      <c r="J226" s="119"/>
      <c r="K226" s="119"/>
      <c r="L226" s="119">
        <v>8200</v>
      </c>
      <c r="M226" s="119"/>
      <c r="N226" s="119"/>
      <c r="O226" s="34"/>
      <c r="P226" s="34"/>
    </row>
    <row r="227" spans="2:16" x14ac:dyDescent="0.25">
      <c r="B227" s="34" t="s">
        <v>106</v>
      </c>
      <c r="C227" s="34">
        <f>Informations!$D15/12</f>
        <v>116.66666666666669</v>
      </c>
      <c r="D227" s="34">
        <f>Informations!$D15/12</f>
        <v>116.66666666666669</v>
      </c>
      <c r="E227" s="34">
        <f>Informations!$D15/12</f>
        <v>116.66666666666669</v>
      </c>
      <c r="F227" s="34">
        <f>Informations!$D15/12</f>
        <v>116.66666666666669</v>
      </c>
      <c r="G227" s="34">
        <f>Informations!$D15/12</f>
        <v>116.66666666666669</v>
      </c>
      <c r="H227" s="34">
        <f>Informations!$D15/12</f>
        <v>116.66666666666669</v>
      </c>
      <c r="I227" s="34">
        <f>Informations!$D15/12</f>
        <v>116.66666666666669</v>
      </c>
      <c r="J227" s="34">
        <f>Informations!$D15/12</f>
        <v>116.66666666666669</v>
      </c>
      <c r="K227" s="34">
        <f>Informations!$D15/12</f>
        <v>116.66666666666669</v>
      </c>
      <c r="L227" s="34">
        <f>Informations!$D15/12</f>
        <v>116.66666666666669</v>
      </c>
      <c r="M227" s="34">
        <f>Informations!$D15/12</f>
        <v>116.66666666666669</v>
      </c>
      <c r="N227" s="34">
        <f>Informations!$D15/12</f>
        <v>116.66666666666669</v>
      </c>
      <c r="O227" s="60" t="s">
        <v>107</v>
      </c>
      <c r="P227" s="61">
        <f>Informations!D15</f>
        <v>1400.0000000000002</v>
      </c>
    </row>
    <row r="228" spans="2:16" x14ac:dyDescent="0.25">
      <c r="B228" s="34" t="s">
        <v>108</v>
      </c>
      <c r="C228" s="34">
        <f t="shared" ref="C228:N228" si="119">$P$228/12</f>
        <v>3333.3333333333335</v>
      </c>
      <c r="D228" s="34">
        <f t="shared" si="119"/>
        <v>3333.3333333333335</v>
      </c>
      <c r="E228" s="34">
        <f t="shared" si="119"/>
        <v>3333.3333333333335</v>
      </c>
      <c r="F228" s="34">
        <f t="shared" si="119"/>
        <v>3333.3333333333335</v>
      </c>
      <c r="G228" s="34">
        <f t="shared" si="119"/>
        <v>3333.3333333333335</v>
      </c>
      <c r="H228" s="34">
        <f t="shared" si="119"/>
        <v>3333.3333333333335</v>
      </c>
      <c r="I228" s="34">
        <f t="shared" si="119"/>
        <v>3333.3333333333335</v>
      </c>
      <c r="J228" s="34">
        <f t="shared" si="119"/>
        <v>3333.3333333333335</v>
      </c>
      <c r="K228" s="34">
        <f t="shared" si="119"/>
        <v>3333.3333333333335</v>
      </c>
      <c r="L228" s="34">
        <f t="shared" si="119"/>
        <v>3333.3333333333335</v>
      </c>
      <c r="M228" s="34">
        <f t="shared" si="119"/>
        <v>3333.3333333333335</v>
      </c>
      <c r="N228" s="34">
        <f t="shared" si="119"/>
        <v>3333.3333333333335</v>
      </c>
      <c r="O228" s="60" t="s">
        <v>109</v>
      </c>
      <c r="P228" s="61">
        <f>Informations!E15</f>
        <v>40000</v>
      </c>
    </row>
    <row r="229" spans="2:16" x14ac:dyDescent="0.25">
      <c r="B229" s="59" t="s">
        <v>71</v>
      </c>
      <c r="C229" s="59">
        <f t="shared" ref="C229:N229" si="120">C227+C228</f>
        <v>3450</v>
      </c>
      <c r="D229" s="59">
        <f t="shared" si="120"/>
        <v>3450</v>
      </c>
      <c r="E229" s="59">
        <f t="shared" si="120"/>
        <v>3450</v>
      </c>
      <c r="F229" s="59">
        <f t="shared" si="120"/>
        <v>3450</v>
      </c>
      <c r="G229" s="59">
        <f t="shared" si="120"/>
        <v>3450</v>
      </c>
      <c r="H229" s="59">
        <f t="shared" si="120"/>
        <v>3450</v>
      </c>
      <c r="I229" s="59">
        <f t="shared" si="120"/>
        <v>3450</v>
      </c>
      <c r="J229" s="59">
        <f t="shared" si="120"/>
        <v>3450</v>
      </c>
      <c r="K229" s="59">
        <f t="shared" si="120"/>
        <v>3450</v>
      </c>
      <c r="L229" s="59">
        <f t="shared" si="120"/>
        <v>3450</v>
      </c>
      <c r="M229" s="59">
        <f t="shared" si="120"/>
        <v>3450</v>
      </c>
      <c r="N229" s="59">
        <f t="shared" si="120"/>
        <v>3450</v>
      </c>
      <c r="O229" s="113"/>
      <c r="P229" s="113"/>
    </row>
    <row r="232" spans="2:16" x14ac:dyDescent="0.25">
      <c r="B232" s="288" t="s">
        <v>161</v>
      </c>
      <c r="C232" s="288"/>
      <c r="D232" s="288"/>
      <c r="E232" s="288"/>
      <c r="F232" s="288"/>
      <c r="G232" s="288"/>
      <c r="H232" s="288"/>
      <c r="I232" s="288"/>
      <c r="J232" s="288"/>
      <c r="K232" s="288"/>
      <c r="L232" s="288"/>
      <c r="M232" s="288"/>
      <c r="N232" s="288"/>
      <c r="O232" s="288"/>
      <c r="P232" s="288"/>
    </row>
    <row r="233" spans="2:16" x14ac:dyDescent="0.25">
      <c r="B233" s="213"/>
      <c r="C233" s="215" t="s">
        <v>50</v>
      </c>
      <c r="D233" s="215" t="s">
        <v>51</v>
      </c>
      <c r="E233" s="215" t="s">
        <v>52</v>
      </c>
      <c r="F233" s="215" t="s">
        <v>53</v>
      </c>
      <c r="G233" s="215" t="s">
        <v>54</v>
      </c>
      <c r="H233" s="215" t="s">
        <v>55</v>
      </c>
      <c r="I233" s="215" t="s">
        <v>56</v>
      </c>
      <c r="J233" s="215" t="s">
        <v>57</v>
      </c>
      <c r="K233" s="215" t="s">
        <v>58</v>
      </c>
      <c r="L233" s="215" t="s">
        <v>59</v>
      </c>
      <c r="M233" s="215" t="s">
        <v>60</v>
      </c>
      <c r="N233" s="215" t="s">
        <v>61</v>
      </c>
      <c r="O233" s="220" t="s">
        <v>62</v>
      </c>
      <c r="P233" s="221"/>
    </row>
    <row r="234" spans="2:16" x14ac:dyDescent="0.25">
      <c r="B234" s="214"/>
      <c r="C234" s="216"/>
      <c r="D234" s="216"/>
      <c r="E234" s="216"/>
      <c r="F234" s="216"/>
      <c r="G234" s="216"/>
      <c r="H234" s="216"/>
      <c r="I234" s="216"/>
      <c r="J234" s="216"/>
      <c r="K234" s="216"/>
      <c r="L234" s="216"/>
      <c r="M234" s="216"/>
      <c r="N234" s="216"/>
      <c r="O234" s="58" t="s">
        <v>64</v>
      </c>
      <c r="P234" s="58" t="s">
        <v>65</v>
      </c>
    </row>
    <row r="235" spans="2:16" x14ac:dyDescent="0.25">
      <c r="B235" s="34" t="s">
        <v>111</v>
      </c>
      <c r="C235" s="34"/>
      <c r="D235" s="34"/>
      <c r="E235" s="34"/>
      <c r="F235" s="34"/>
      <c r="G235" s="34"/>
      <c r="H235" s="34"/>
      <c r="I235" s="34"/>
      <c r="J235" s="34"/>
      <c r="K235" s="34"/>
      <c r="L235" s="34"/>
      <c r="M235" s="34"/>
      <c r="N235" s="34"/>
      <c r="O235" s="60" t="s">
        <v>112</v>
      </c>
      <c r="P235" s="61">
        <f>SUM(C235:N235)</f>
        <v>0</v>
      </c>
    </row>
    <row r="236" spans="2:16" x14ac:dyDescent="0.25">
      <c r="B236" s="34" t="s">
        <v>113</v>
      </c>
      <c r="C236" s="34">
        <f t="shared" ref="C236:N236" si="121">C235*20%</f>
        <v>0</v>
      </c>
      <c r="D236" s="34">
        <f t="shared" si="121"/>
        <v>0</v>
      </c>
      <c r="E236" s="34">
        <f t="shared" si="121"/>
        <v>0</v>
      </c>
      <c r="F236" s="34">
        <f t="shared" si="121"/>
        <v>0</v>
      </c>
      <c r="G236" s="34">
        <f t="shared" si="121"/>
        <v>0</v>
      </c>
      <c r="H236" s="34">
        <f t="shared" si="121"/>
        <v>0</v>
      </c>
      <c r="I236" s="34">
        <f t="shared" si="121"/>
        <v>0</v>
      </c>
      <c r="J236" s="34">
        <f t="shared" si="121"/>
        <v>0</v>
      </c>
      <c r="K236" s="34">
        <f t="shared" si="121"/>
        <v>0</v>
      </c>
      <c r="L236" s="34">
        <f t="shared" si="121"/>
        <v>0</v>
      </c>
      <c r="M236" s="34">
        <f t="shared" si="121"/>
        <v>0</v>
      </c>
      <c r="N236" s="34">
        <f t="shared" si="121"/>
        <v>0</v>
      </c>
      <c r="O236" s="34"/>
      <c r="P236" s="34"/>
    </row>
    <row r="237" spans="2:16" x14ac:dyDescent="0.25">
      <c r="B237" s="34" t="s">
        <v>114</v>
      </c>
      <c r="C237" s="34">
        <f t="shared" ref="C237:N237" si="122">C235+C236</f>
        <v>0</v>
      </c>
      <c r="D237" s="34">
        <f t="shared" si="122"/>
        <v>0</v>
      </c>
      <c r="E237" s="34">
        <f t="shared" si="122"/>
        <v>0</v>
      </c>
      <c r="F237" s="34">
        <f t="shared" si="122"/>
        <v>0</v>
      </c>
      <c r="G237" s="34">
        <f t="shared" si="122"/>
        <v>0</v>
      </c>
      <c r="H237" s="34">
        <f t="shared" si="122"/>
        <v>0</v>
      </c>
      <c r="I237" s="34">
        <f t="shared" si="122"/>
        <v>0</v>
      </c>
      <c r="J237" s="34">
        <f t="shared" si="122"/>
        <v>0</v>
      </c>
      <c r="K237" s="34">
        <f t="shared" si="122"/>
        <v>0</v>
      </c>
      <c r="L237" s="34">
        <f t="shared" si="122"/>
        <v>0</v>
      </c>
      <c r="M237" s="34">
        <f t="shared" si="122"/>
        <v>0</v>
      </c>
      <c r="N237" s="34">
        <f t="shared" si="122"/>
        <v>0</v>
      </c>
      <c r="O237" s="34"/>
      <c r="P237" s="34"/>
    </row>
    <row r="238" spans="2:16" x14ac:dyDescent="0.25">
      <c r="B238" s="59" t="s">
        <v>81</v>
      </c>
      <c r="C238" s="59">
        <f t="shared" ref="C238:N238" si="123">C237</f>
        <v>0</v>
      </c>
      <c r="D238" s="59">
        <f t="shared" si="123"/>
        <v>0</v>
      </c>
      <c r="E238" s="59">
        <f t="shared" si="123"/>
        <v>0</v>
      </c>
      <c r="F238" s="59">
        <f t="shared" si="123"/>
        <v>0</v>
      </c>
      <c r="G238" s="59">
        <f t="shared" si="123"/>
        <v>0</v>
      </c>
      <c r="H238" s="59">
        <f t="shared" si="123"/>
        <v>0</v>
      </c>
      <c r="I238" s="59">
        <f t="shared" si="123"/>
        <v>0</v>
      </c>
      <c r="J238" s="59">
        <f t="shared" si="123"/>
        <v>0</v>
      </c>
      <c r="K238" s="59">
        <f t="shared" si="123"/>
        <v>0</v>
      </c>
      <c r="L238" s="59">
        <f t="shared" si="123"/>
        <v>0</v>
      </c>
      <c r="M238" s="59">
        <f t="shared" si="123"/>
        <v>0</v>
      </c>
      <c r="N238" s="59">
        <f t="shared" si="123"/>
        <v>0</v>
      </c>
      <c r="O238" s="60" t="s">
        <v>220</v>
      </c>
      <c r="P238" s="61">
        <v>0</v>
      </c>
    </row>
    <row r="241" spans="2:31" x14ac:dyDescent="0.25">
      <c r="B241" s="288" t="s">
        <v>162</v>
      </c>
      <c r="C241" s="288"/>
      <c r="D241" s="288"/>
      <c r="E241" s="288"/>
      <c r="F241" s="288"/>
      <c r="G241" s="288"/>
      <c r="H241" s="288"/>
      <c r="I241" s="288"/>
      <c r="J241" s="288"/>
      <c r="K241" s="288"/>
      <c r="L241" s="288"/>
      <c r="M241" s="288"/>
      <c r="N241" s="288"/>
      <c r="O241" s="288"/>
      <c r="P241" s="288"/>
    </row>
    <row r="242" spans="2:31" x14ac:dyDescent="0.25">
      <c r="B242" s="213"/>
      <c r="C242" s="215" t="s">
        <v>50</v>
      </c>
      <c r="D242" s="215" t="s">
        <v>51</v>
      </c>
      <c r="E242" s="215" t="s">
        <v>52</v>
      </c>
      <c r="F242" s="215" t="s">
        <v>53</v>
      </c>
      <c r="G242" s="215" t="s">
        <v>54</v>
      </c>
      <c r="H242" s="215" t="s">
        <v>55</v>
      </c>
      <c r="I242" s="215" t="s">
        <v>56</v>
      </c>
      <c r="J242" s="215" t="s">
        <v>57</v>
      </c>
      <c r="K242" s="215" t="s">
        <v>58</v>
      </c>
      <c r="L242" s="215" t="s">
        <v>59</v>
      </c>
      <c r="M242" s="215" t="s">
        <v>60</v>
      </c>
      <c r="N242" s="215" t="s">
        <v>61</v>
      </c>
      <c r="O242" s="220" t="s">
        <v>62</v>
      </c>
      <c r="P242" s="221"/>
    </row>
    <row r="243" spans="2:31" x14ac:dyDescent="0.25">
      <c r="B243" s="214"/>
      <c r="C243" s="216"/>
      <c r="D243" s="216"/>
      <c r="E243" s="216"/>
      <c r="F243" s="216"/>
      <c r="G243" s="216"/>
      <c r="H243" s="216"/>
      <c r="I243" s="216"/>
      <c r="J243" s="216"/>
      <c r="K243" s="216"/>
      <c r="L243" s="216"/>
      <c r="M243" s="216"/>
      <c r="N243" s="216"/>
      <c r="O243" s="58" t="s">
        <v>64</v>
      </c>
      <c r="P243" s="58" t="s">
        <v>65</v>
      </c>
      <c r="S243" s="283" t="s">
        <v>203</v>
      </c>
      <c r="T243" s="283" t="s">
        <v>50</v>
      </c>
      <c r="U243" s="283" t="s">
        <v>51</v>
      </c>
      <c r="V243" s="283" t="s">
        <v>52</v>
      </c>
      <c r="W243" s="283" t="s">
        <v>53</v>
      </c>
      <c r="X243" s="283" t="s">
        <v>54</v>
      </c>
      <c r="Y243" s="283" t="s">
        <v>55</v>
      </c>
      <c r="Z243" s="283" t="s">
        <v>56</v>
      </c>
      <c r="AA243" s="283" t="s">
        <v>57</v>
      </c>
      <c r="AB243" s="283" t="s">
        <v>58</v>
      </c>
      <c r="AC243" s="283" t="s">
        <v>59</v>
      </c>
      <c r="AD243" s="283" t="s">
        <v>60</v>
      </c>
      <c r="AE243" s="283" t="s">
        <v>61</v>
      </c>
    </row>
    <row r="244" spans="2:31" x14ac:dyDescent="0.25">
      <c r="B244" s="59" t="s">
        <v>68</v>
      </c>
      <c r="C244" s="59">
        <f t="shared" ref="C244:N244" si="124">C189</f>
        <v>1114.3693600000001</v>
      </c>
      <c r="D244" s="59">
        <f t="shared" si="124"/>
        <v>1114.3693600000001</v>
      </c>
      <c r="E244" s="59">
        <f t="shared" si="124"/>
        <v>1114.3693600000001</v>
      </c>
      <c r="F244" s="59">
        <f t="shared" si="124"/>
        <v>1114.3693600000001</v>
      </c>
      <c r="G244" s="59">
        <f t="shared" si="124"/>
        <v>1114.3693600000001</v>
      </c>
      <c r="H244" s="59">
        <f t="shared" si="124"/>
        <v>1114.3693600000001</v>
      </c>
      <c r="I244" s="59">
        <f t="shared" si="124"/>
        <v>1114.3693600000001</v>
      </c>
      <c r="J244" s="59">
        <f t="shared" si="124"/>
        <v>1114.3693600000001</v>
      </c>
      <c r="K244" s="59">
        <f t="shared" si="124"/>
        <v>1114.3693600000001</v>
      </c>
      <c r="L244" s="59">
        <f t="shared" si="124"/>
        <v>1114.3693600000001</v>
      </c>
      <c r="M244" s="59">
        <f t="shared" si="124"/>
        <v>1114.3693600000001</v>
      </c>
      <c r="N244" s="59">
        <f t="shared" si="124"/>
        <v>1114.3693600000001</v>
      </c>
      <c r="O244" s="34"/>
      <c r="P244" s="34"/>
      <c r="S244" s="283"/>
      <c r="T244" s="283"/>
      <c r="U244" s="283"/>
      <c r="V244" s="283"/>
      <c r="W244" s="283"/>
      <c r="X244" s="283"/>
      <c r="Y244" s="283"/>
      <c r="Z244" s="283"/>
      <c r="AA244" s="283"/>
      <c r="AB244" s="283"/>
      <c r="AC244" s="283"/>
      <c r="AD244" s="283"/>
      <c r="AE244" s="283"/>
    </row>
    <row r="245" spans="2:31" x14ac:dyDescent="0.25">
      <c r="B245" s="34" t="s">
        <v>79</v>
      </c>
      <c r="C245" s="34">
        <f t="shared" ref="C245:N245" si="125">C198</f>
        <v>356.59819520000002</v>
      </c>
      <c r="D245" s="34">
        <f t="shared" si="125"/>
        <v>356.59819520000002</v>
      </c>
      <c r="E245" s="34">
        <f t="shared" si="125"/>
        <v>356.59819520000002</v>
      </c>
      <c r="F245" s="34">
        <f t="shared" si="125"/>
        <v>356.59819520000002</v>
      </c>
      <c r="G245" s="34">
        <f t="shared" si="125"/>
        <v>356.59819520000002</v>
      </c>
      <c r="H245" s="34">
        <f t="shared" si="125"/>
        <v>356.59819520000002</v>
      </c>
      <c r="I245" s="34">
        <f t="shared" si="125"/>
        <v>356.59819520000002</v>
      </c>
      <c r="J245" s="34">
        <f t="shared" si="125"/>
        <v>356.59819520000002</v>
      </c>
      <c r="K245" s="34">
        <f t="shared" si="125"/>
        <v>356.59819520000002</v>
      </c>
      <c r="L245" s="34">
        <f t="shared" si="125"/>
        <v>356.59819520000002</v>
      </c>
      <c r="M245" s="34">
        <f t="shared" si="125"/>
        <v>356.59819520000002</v>
      </c>
      <c r="N245" s="34">
        <f t="shared" si="125"/>
        <v>356.59819520000002</v>
      </c>
      <c r="O245" s="34"/>
      <c r="P245" s="34"/>
      <c r="S245" s="59" t="s">
        <v>204</v>
      </c>
      <c r="T245" s="59">
        <f t="shared" ref="T245:AE245" si="126">C258</f>
        <v>6588.8440800000008</v>
      </c>
      <c r="U245" s="59">
        <f t="shared" si="126"/>
        <v>6686.2161599999999</v>
      </c>
      <c r="V245" s="59">
        <f t="shared" si="126"/>
        <v>6686.2161599999999</v>
      </c>
      <c r="W245" s="59">
        <f t="shared" si="126"/>
        <v>6686.2161599999999</v>
      </c>
      <c r="X245" s="59">
        <f t="shared" si="126"/>
        <v>6686.2161599999999</v>
      </c>
      <c r="Y245" s="59">
        <f t="shared" si="126"/>
        <v>6686.2161599999999</v>
      </c>
      <c r="Z245" s="59">
        <f t="shared" si="126"/>
        <v>6686.2161599999999</v>
      </c>
      <c r="AA245" s="59">
        <f t="shared" si="126"/>
        <v>6686.2161599999999</v>
      </c>
      <c r="AB245" s="59">
        <f t="shared" si="126"/>
        <v>6686.2161599999999</v>
      </c>
      <c r="AC245" s="59">
        <f t="shared" si="126"/>
        <v>6686.2161599999999</v>
      </c>
      <c r="AD245" s="59">
        <f t="shared" si="126"/>
        <v>6686.2161599999999</v>
      </c>
      <c r="AE245" s="59">
        <f t="shared" si="126"/>
        <v>6686.2161599999999</v>
      </c>
    </row>
    <row r="246" spans="2:31" x14ac:dyDescent="0.25">
      <c r="B246" s="34" t="s">
        <v>86</v>
      </c>
      <c r="C246" s="34">
        <f t="shared" ref="C246:N246" si="127">C207+C211</f>
        <v>1513.9166666666667</v>
      </c>
      <c r="D246" s="34">
        <f t="shared" si="127"/>
        <v>1513.9166666666667</v>
      </c>
      <c r="E246" s="34">
        <f t="shared" si="127"/>
        <v>1513.9166666666667</v>
      </c>
      <c r="F246" s="34">
        <f t="shared" si="127"/>
        <v>1513.9166666666667</v>
      </c>
      <c r="G246" s="34">
        <f t="shared" si="127"/>
        <v>1513.9166666666667</v>
      </c>
      <c r="H246" s="34">
        <f t="shared" si="127"/>
        <v>1513.9166666666667</v>
      </c>
      <c r="I246" s="34">
        <f t="shared" si="127"/>
        <v>1513.9166666666667</v>
      </c>
      <c r="J246" s="34">
        <f t="shared" si="127"/>
        <v>1513.9166666666667</v>
      </c>
      <c r="K246" s="34">
        <f t="shared" si="127"/>
        <v>1513.9166666666667</v>
      </c>
      <c r="L246" s="34">
        <f t="shared" si="127"/>
        <v>1513.9166666666667</v>
      </c>
      <c r="M246" s="34">
        <f t="shared" si="127"/>
        <v>1513.9166666666667</v>
      </c>
      <c r="N246" s="34">
        <f t="shared" si="127"/>
        <v>1513.9166666666667</v>
      </c>
      <c r="O246" s="34"/>
      <c r="P246" s="34"/>
      <c r="S246" s="34" t="s">
        <v>205</v>
      </c>
      <c r="T246" s="34"/>
      <c r="U246" s="34"/>
      <c r="V246" s="34"/>
      <c r="W246" s="34"/>
      <c r="X246" s="34"/>
      <c r="Y246" s="34"/>
      <c r="Z246" s="34"/>
      <c r="AA246" s="34"/>
      <c r="AB246" s="34"/>
      <c r="AC246" s="34"/>
      <c r="AD246" s="34"/>
      <c r="AE246" s="34"/>
    </row>
    <row r="247" spans="2:31" x14ac:dyDescent="0.25">
      <c r="B247" s="59" t="s">
        <v>113</v>
      </c>
      <c r="C247" s="59">
        <f t="shared" ref="C247:N247" si="128">C236</f>
        <v>0</v>
      </c>
      <c r="D247" s="59">
        <f t="shared" si="128"/>
        <v>0</v>
      </c>
      <c r="E247" s="59">
        <f t="shared" si="128"/>
        <v>0</v>
      </c>
      <c r="F247" s="59">
        <f t="shared" si="128"/>
        <v>0</v>
      </c>
      <c r="G247" s="59">
        <f t="shared" si="128"/>
        <v>0</v>
      </c>
      <c r="H247" s="59">
        <f t="shared" si="128"/>
        <v>0</v>
      </c>
      <c r="I247" s="59">
        <f t="shared" si="128"/>
        <v>0</v>
      </c>
      <c r="J247" s="59">
        <f t="shared" si="128"/>
        <v>0</v>
      </c>
      <c r="K247" s="59">
        <f t="shared" si="128"/>
        <v>0</v>
      </c>
      <c r="L247" s="59">
        <f t="shared" si="128"/>
        <v>0</v>
      </c>
      <c r="M247" s="59">
        <f t="shared" si="128"/>
        <v>0</v>
      </c>
      <c r="N247" s="59">
        <f t="shared" si="128"/>
        <v>0</v>
      </c>
      <c r="O247" s="34"/>
      <c r="P247" s="34"/>
      <c r="S247" s="34" t="s">
        <v>206</v>
      </c>
      <c r="T247" s="34"/>
      <c r="U247" s="34"/>
      <c r="V247" s="34"/>
      <c r="W247" s="34"/>
      <c r="X247" s="34"/>
      <c r="Y247" s="34"/>
      <c r="Z247" s="34"/>
      <c r="AA247" s="34"/>
      <c r="AB247" s="34"/>
      <c r="AC247" s="34"/>
      <c r="AD247" s="34"/>
      <c r="AE247" s="34"/>
    </row>
    <row r="248" spans="2:31" x14ac:dyDescent="0.25">
      <c r="B248" s="114" t="s">
        <v>117</v>
      </c>
      <c r="C248" s="115">
        <f t="shared" ref="C248:N248" si="129">C245+C246+C247</f>
        <v>1870.5148618666667</v>
      </c>
      <c r="D248" s="115">
        <f t="shared" si="129"/>
        <v>1870.5148618666667</v>
      </c>
      <c r="E248" s="115">
        <f t="shared" si="129"/>
        <v>1870.5148618666667</v>
      </c>
      <c r="F248" s="115">
        <f t="shared" si="129"/>
        <v>1870.5148618666667</v>
      </c>
      <c r="G248" s="115">
        <f t="shared" si="129"/>
        <v>1870.5148618666667</v>
      </c>
      <c r="H248" s="115">
        <f t="shared" si="129"/>
        <v>1870.5148618666667</v>
      </c>
      <c r="I248" s="115">
        <f t="shared" si="129"/>
        <v>1870.5148618666667</v>
      </c>
      <c r="J248" s="115">
        <f t="shared" si="129"/>
        <v>1870.5148618666667</v>
      </c>
      <c r="K248" s="115">
        <f t="shared" si="129"/>
        <v>1870.5148618666667</v>
      </c>
      <c r="L248" s="115">
        <f t="shared" si="129"/>
        <v>1870.5148618666667</v>
      </c>
      <c r="M248" s="115">
        <f t="shared" si="129"/>
        <v>1870.5148618666667</v>
      </c>
      <c r="N248" s="115">
        <f t="shared" si="129"/>
        <v>1870.5148618666667</v>
      </c>
      <c r="O248" s="34"/>
      <c r="P248" s="34"/>
      <c r="S248" s="34" t="s">
        <v>207</v>
      </c>
      <c r="T248" s="34"/>
      <c r="U248" s="34"/>
      <c r="V248" s="34"/>
      <c r="W248" s="34"/>
      <c r="X248" s="34"/>
      <c r="Y248" s="34"/>
      <c r="Z248" s="34"/>
      <c r="AA248" s="34"/>
      <c r="AB248" s="34"/>
      <c r="AC248" s="34"/>
      <c r="AD248" s="34"/>
      <c r="AE248" s="34"/>
    </row>
    <row r="249" spans="2:31" x14ac:dyDescent="0.25">
      <c r="B249" s="116" t="s">
        <v>118</v>
      </c>
      <c r="C249" s="117">
        <f t="shared" ref="C249:N249" si="130">C244-C248</f>
        <v>-756.14550186666656</v>
      </c>
      <c r="D249" s="117">
        <f t="shared" si="130"/>
        <v>-756.14550186666656</v>
      </c>
      <c r="E249" s="117">
        <f t="shared" si="130"/>
        <v>-756.14550186666656</v>
      </c>
      <c r="F249" s="117">
        <f t="shared" si="130"/>
        <v>-756.14550186666656</v>
      </c>
      <c r="G249" s="117">
        <f t="shared" si="130"/>
        <v>-756.14550186666656</v>
      </c>
      <c r="H249" s="117">
        <f t="shared" si="130"/>
        <v>-756.14550186666656</v>
      </c>
      <c r="I249" s="117">
        <f t="shared" si="130"/>
        <v>-756.14550186666656</v>
      </c>
      <c r="J249" s="117">
        <f t="shared" si="130"/>
        <v>-756.14550186666656</v>
      </c>
      <c r="K249" s="117">
        <f t="shared" si="130"/>
        <v>-756.14550186666656</v>
      </c>
      <c r="L249" s="117">
        <f t="shared" si="130"/>
        <v>-756.14550186666656</v>
      </c>
      <c r="M249" s="117">
        <f t="shared" si="130"/>
        <v>-756.14550186666656</v>
      </c>
      <c r="N249" s="117">
        <f t="shared" si="130"/>
        <v>-756.14550186666656</v>
      </c>
      <c r="O249" s="34"/>
      <c r="P249" s="34"/>
      <c r="S249" s="59" t="s">
        <v>210</v>
      </c>
      <c r="T249" s="59">
        <f t="shared" ref="T249:AE249" si="131">T245+T248</f>
        <v>6588.8440800000008</v>
      </c>
      <c r="U249" s="59">
        <f t="shared" si="131"/>
        <v>6686.2161599999999</v>
      </c>
      <c r="V249" s="59">
        <f t="shared" si="131"/>
        <v>6686.2161599999999</v>
      </c>
      <c r="W249" s="59">
        <f t="shared" si="131"/>
        <v>6686.2161599999999</v>
      </c>
      <c r="X249" s="59">
        <f t="shared" si="131"/>
        <v>6686.2161599999999</v>
      </c>
      <c r="Y249" s="59">
        <f t="shared" si="131"/>
        <v>6686.2161599999999</v>
      </c>
      <c r="Z249" s="59">
        <f t="shared" si="131"/>
        <v>6686.2161599999999</v>
      </c>
      <c r="AA249" s="59">
        <f t="shared" si="131"/>
        <v>6686.2161599999999</v>
      </c>
      <c r="AB249" s="59">
        <f t="shared" si="131"/>
        <v>6686.2161599999999</v>
      </c>
      <c r="AC249" s="59">
        <f t="shared" si="131"/>
        <v>6686.2161599999999</v>
      </c>
      <c r="AD249" s="59">
        <f t="shared" si="131"/>
        <v>6686.2161599999999</v>
      </c>
      <c r="AE249" s="59">
        <f t="shared" si="131"/>
        <v>6686.2161599999999</v>
      </c>
    </row>
    <row r="250" spans="2:31" x14ac:dyDescent="0.25">
      <c r="B250" s="59" t="s">
        <v>81</v>
      </c>
      <c r="C250" s="59">
        <f>P158</f>
        <v>-706.06405333333328</v>
      </c>
      <c r="D250" s="59">
        <f t="shared" ref="D250:N250" si="132">C249</f>
        <v>-756.14550186666656</v>
      </c>
      <c r="E250" s="59">
        <f t="shared" si="132"/>
        <v>-756.14550186666656</v>
      </c>
      <c r="F250" s="59">
        <f t="shared" si="132"/>
        <v>-756.14550186666656</v>
      </c>
      <c r="G250" s="59">
        <f t="shared" si="132"/>
        <v>-756.14550186666656</v>
      </c>
      <c r="H250" s="59">
        <f t="shared" si="132"/>
        <v>-756.14550186666656</v>
      </c>
      <c r="I250" s="59">
        <f t="shared" si="132"/>
        <v>-756.14550186666656</v>
      </c>
      <c r="J250" s="59">
        <f t="shared" si="132"/>
        <v>-756.14550186666656</v>
      </c>
      <c r="K250" s="59">
        <f t="shared" si="132"/>
        <v>-756.14550186666656</v>
      </c>
      <c r="L250" s="59">
        <f t="shared" si="132"/>
        <v>-756.14550186666656</v>
      </c>
      <c r="M250" s="59">
        <f t="shared" si="132"/>
        <v>-756.14550186666656</v>
      </c>
      <c r="N250" s="59">
        <f t="shared" si="132"/>
        <v>-756.14550186666656</v>
      </c>
      <c r="O250" s="60" t="s">
        <v>119</v>
      </c>
      <c r="P250" s="61">
        <f>N249</f>
        <v>-756.14550186666656</v>
      </c>
      <c r="S250" s="34" t="s">
        <v>211</v>
      </c>
      <c r="T250" s="34">
        <f t="shared" ref="T250:AE250" si="133">C268</f>
        <v>50150.060832152376</v>
      </c>
      <c r="U250" s="34">
        <f t="shared" si="133"/>
        <v>50099.979383619044</v>
      </c>
      <c r="V250" s="34">
        <f t="shared" si="133"/>
        <v>50099.979383619044</v>
      </c>
      <c r="W250" s="34">
        <f t="shared" si="133"/>
        <v>50099.979383619044</v>
      </c>
      <c r="X250" s="34">
        <f t="shared" si="133"/>
        <v>50099.979383619044</v>
      </c>
      <c r="Y250" s="34">
        <f t="shared" si="133"/>
        <v>50099.979383619044</v>
      </c>
      <c r="Z250" s="34">
        <f t="shared" si="133"/>
        <v>50099.979383619044</v>
      </c>
      <c r="AA250" s="34">
        <f t="shared" si="133"/>
        <v>50099.979383619044</v>
      </c>
      <c r="AB250" s="34">
        <f t="shared" si="133"/>
        <v>50099.979383619044</v>
      </c>
      <c r="AC250" s="34">
        <f t="shared" si="133"/>
        <v>58299.979383619044</v>
      </c>
      <c r="AD250" s="34">
        <f t="shared" si="133"/>
        <v>50099.979383619044</v>
      </c>
      <c r="AE250" s="34">
        <f t="shared" si="133"/>
        <v>50099.979383619044</v>
      </c>
    </row>
    <row r="251" spans="2:31" x14ac:dyDescent="0.25">
      <c r="S251" s="34" t="s">
        <v>212</v>
      </c>
      <c r="T251" s="34"/>
      <c r="U251" s="34">
        <f t="shared" ref="U251:AE251" si="134">T248*0.07</f>
        <v>0</v>
      </c>
      <c r="V251" s="34">
        <f t="shared" si="134"/>
        <v>0</v>
      </c>
      <c r="W251" s="34">
        <f t="shared" si="134"/>
        <v>0</v>
      </c>
      <c r="X251" s="34">
        <f t="shared" si="134"/>
        <v>0</v>
      </c>
      <c r="Y251" s="34">
        <f t="shared" si="134"/>
        <v>0</v>
      </c>
      <c r="Z251" s="34">
        <f t="shared" si="134"/>
        <v>0</v>
      </c>
      <c r="AA251" s="34">
        <f t="shared" si="134"/>
        <v>0</v>
      </c>
      <c r="AB251" s="34">
        <f t="shared" si="134"/>
        <v>0</v>
      </c>
      <c r="AC251" s="34">
        <f t="shared" si="134"/>
        <v>0</v>
      </c>
      <c r="AD251" s="34">
        <f t="shared" si="134"/>
        <v>0</v>
      </c>
      <c r="AE251" s="34">
        <f t="shared" si="134"/>
        <v>0</v>
      </c>
    </row>
    <row r="252" spans="2:31" x14ac:dyDescent="0.25">
      <c r="S252" s="59" t="s">
        <v>213</v>
      </c>
      <c r="T252" s="59">
        <f t="shared" ref="T252:AE252" si="135">T250+T251</f>
        <v>50150.060832152376</v>
      </c>
      <c r="U252" s="59">
        <f t="shared" si="135"/>
        <v>50099.979383619044</v>
      </c>
      <c r="V252" s="59">
        <f t="shared" si="135"/>
        <v>50099.979383619044</v>
      </c>
      <c r="W252" s="59">
        <f t="shared" si="135"/>
        <v>50099.979383619044</v>
      </c>
      <c r="X252" s="59">
        <f t="shared" si="135"/>
        <v>50099.979383619044</v>
      </c>
      <c r="Y252" s="59">
        <f t="shared" si="135"/>
        <v>50099.979383619044</v>
      </c>
      <c r="Z252" s="59">
        <f t="shared" si="135"/>
        <v>50099.979383619044</v>
      </c>
      <c r="AA252" s="59">
        <f t="shared" si="135"/>
        <v>50099.979383619044</v>
      </c>
      <c r="AB252" s="59">
        <f t="shared" si="135"/>
        <v>50099.979383619044</v>
      </c>
      <c r="AC252" s="59">
        <f t="shared" si="135"/>
        <v>58299.979383619044</v>
      </c>
      <c r="AD252" s="59">
        <f t="shared" si="135"/>
        <v>50099.979383619044</v>
      </c>
      <c r="AE252" s="59">
        <f t="shared" si="135"/>
        <v>50099.979383619044</v>
      </c>
    </row>
    <row r="253" spans="2:31" x14ac:dyDescent="0.25">
      <c r="B253" s="288" t="s">
        <v>163</v>
      </c>
      <c r="C253" s="288"/>
      <c r="D253" s="288"/>
      <c r="E253" s="288"/>
      <c r="F253" s="288"/>
      <c r="G253" s="288"/>
      <c r="H253" s="288"/>
      <c r="I253" s="288"/>
      <c r="J253" s="288"/>
      <c r="K253" s="288"/>
      <c r="L253" s="288"/>
      <c r="M253" s="288"/>
      <c r="N253" s="288"/>
      <c r="O253" s="288"/>
      <c r="P253" s="288"/>
      <c r="S253" s="34" t="s">
        <v>132</v>
      </c>
      <c r="T253" s="34">
        <f>AE160</f>
        <v>-991277.11706285679</v>
      </c>
      <c r="U253" s="34">
        <f t="shared" ref="U253:AE253" si="136">T255</f>
        <v>-1034838.3338150092</v>
      </c>
      <c r="V253" s="34">
        <f t="shared" si="136"/>
        <v>-1078252.0970386283</v>
      </c>
      <c r="W253" s="34">
        <f t="shared" si="136"/>
        <v>-1121665.8602622473</v>
      </c>
      <c r="X253" s="34">
        <f t="shared" si="136"/>
        <v>-1165079.6234858662</v>
      </c>
      <c r="Y253" s="34">
        <f t="shared" si="136"/>
        <v>-1208493.3867094852</v>
      </c>
      <c r="Z253" s="34">
        <f t="shared" si="136"/>
        <v>-1251907.1499331042</v>
      </c>
      <c r="AA253" s="34">
        <f t="shared" si="136"/>
        <v>-1295320.9131567231</v>
      </c>
      <c r="AB253" s="34">
        <f t="shared" si="136"/>
        <v>-1338734.6763803421</v>
      </c>
      <c r="AC253" s="34">
        <f t="shared" si="136"/>
        <v>-1382148.4396039611</v>
      </c>
      <c r="AD253" s="34">
        <f t="shared" si="136"/>
        <v>-1433762.20282758</v>
      </c>
      <c r="AE253" s="34">
        <f t="shared" si="136"/>
        <v>-1477175.966051199</v>
      </c>
    </row>
    <row r="254" spans="2:31" x14ac:dyDescent="0.25">
      <c r="B254" s="213"/>
      <c r="C254" s="215" t="s">
        <v>50</v>
      </c>
      <c r="D254" s="215" t="s">
        <v>51</v>
      </c>
      <c r="E254" s="215" t="s">
        <v>52</v>
      </c>
      <c r="F254" s="215" t="s">
        <v>53</v>
      </c>
      <c r="G254" s="215" t="s">
        <v>54</v>
      </c>
      <c r="H254" s="215" t="s">
        <v>55</v>
      </c>
      <c r="I254" s="215" t="s">
        <v>56</v>
      </c>
      <c r="J254" s="215" t="s">
        <v>57</v>
      </c>
      <c r="K254" s="215" t="s">
        <v>58</v>
      </c>
      <c r="L254" s="215" t="s">
        <v>59</v>
      </c>
      <c r="M254" s="215" t="s">
        <v>60</v>
      </c>
      <c r="N254" s="215" t="s">
        <v>61</v>
      </c>
      <c r="O254" s="220" t="s">
        <v>62</v>
      </c>
      <c r="P254" s="221"/>
      <c r="S254" s="34" t="s">
        <v>133</v>
      </c>
      <c r="T254" s="34">
        <f t="shared" ref="T254:AE254" si="137">T249-T252</f>
        <v>-43561.216752152373</v>
      </c>
      <c r="U254" s="34">
        <f t="shared" si="137"/>
        <v>-43413.76322361904</v>
      </c>
      <c r="V254" s="34">
        <f t="shared" si="137"/>
        <v>-43413.76322361904</v>
      </c>
      <c r="W254" s="34">
        <f t="shared" si="137"/>
        <v>-43413.76322361904</v>
      </c>
      <c r="X254" s="34">
        <f t="shared" si="137"/>
        <v>-43413.76322361904</v>
      </c>
      <c r="Y254" s="34">
        <f t="shared" si="137"/>
        <v>-43413.76322361904</v>
      </c>
      <c r="Z254" s="34">
        <f t="shared" si="137"/>
        <v>-43413.76322361904</v>
      </c>
      <c r="AA254" s="34">
        <f t="shared" si="137"/>
        <v>-43413.76322361904</v>
      </c>
      <c r="AB254" s="34">
        <f t="shared" si="137"/>
        <v>-43413.76322361904</v>
      </c>
      <c r="AC254" s="34">
        <f t="shared" si="137"/>
        <v>-51613.76322361904</v>
      </c>
      <c r="AD254" s="34">
        <f t="shared" si="137"/>
        <v>-43413.76322361904</v>
      </c>
      <c r="AE254" s="34">
        <f t="shared" si="137"/>
        <v>-43413.76322361904</v>
      </c>
    </row>
    <row r="255" spans="2:31" x14ac:dyDescent="0.25">
      <c r="B255" s="214"/>
      <c r="C255" s="216"/>
      <c r="D255" s="216"/>
      <c r="E255" s="216"/>
      <c r="F255" s="216"/>
      <c r="G255" s="216"/>
      <c r="H255" s="216"/>
      <c r="I255" s="216"/>
      <c r="J255" s="216"/>
      <c r="K255" s="216"/>
      <c r="L255" s="216"/>
      <c r="M255" s="216"/>
      <c r="N255" s="216"/>
      <c r="O255" s="58" t="s">
        <v>64</v>
      </c>
      <c r="P255" s="58" t="s">
        <v>65</v>
      </c>
      <c r="S255" s="34" t="s">
        <v>214</v>
      </c>
      <c r="T255" s="34">
        <f t="shared" ref="T255:AE255" si="138">T253+T254</f>
        <v>-1034838.3338150092</v>
      </c>
      <c r="U255" s="34">
        <f t="shared" si="138"/>
        <v>-1078252.0970386283</v>
      </c>
      <c r="V255" s="34">
        <f t="shared" si="138"/>
        <v>-1121665.8602622473</v>
      </c>
      <c r="W255" s="34">
        <f t="shared" si="138"/>
        <v>-1165079.6234858662</v>
      </c>
      <c r="X255" s="34">
        <f t="shared" si="138"/>
        <v>-1208493.3867094852</v>
      </c>
      <c r="Y255" s="34">
        <f t="shared" si="138"/>
        <v>-1251907.1499331042</v>
      </c>
      <c r="Z255" s="34">
        <f t="shared" si="138"/>
        <v>-1295320.9131567231</v>
      </c>
      <c r="AA255" s="34">
        <f t="shared" si="138"/>
        <v>-1338734.6763803421</v>
      </c>
      <c r="AB255" s="34">
        <f t="shared" si="138"/>
        <v>-1382148.4396039611</v>
      </c>
      <c r="AC255" s="34">
        <f t="shared" si="138"/>
        <v>-1433762.20282758</v>
      </c>
      <c r="AD255" s="34">
        <f t="shared" si="138"/>
        <v>-1477175.966051199</v>
      </c>
      <c r="AE255" s="34">
        <f t="shared" si="138"/>
        <v>-1520589.729274818</v>
      </c>
    </row>
    <row r="256" spans="2:31" x14ac:dyDescent="0.25">
      <c r="B256" s="34" t="s">
        <v>121</v>
      </c>
      <c r="C256" s="34">
        <f t="shared" ref="C256:N256" si="139">C191</f>
        <v>6588.8440800000008</v>
      </c>
      <c r="D256" s="34">
        <f t="shared" si="139"/>
        <v>6686.2161599999999</v>
      </c>
      <c r="E256" s="34">
        <f t="shared" si="139"/>
        <v>6686.2161599999999</v>
      </c>
      <c r="F256" s="34">
        <f t="shared" si="139"/>
        <v>6686.2161599999999</v>
      </c>
      <c r="G256" s="34">
        <f t="shared" si="139"/>
        <v>6686.2161599999999</v>
      </c>
      <c r="H256" s="34">
        <f t="shared" si="139"/>
        <v>6686.2161599999999</v>
      </c>
      <c r="I256" s="34">
        <f t="shared" si="139"/>
        <v>6686.2161599999999</v>
      </c>
      <c r="J256" s="117">
        <f t="shared" si="139"/>
        <v>6686.2161599999999</v>
      </c>
      <c r="K256" s="34">
        <f t="shared" si="139"/>
        <v>6686.2161599999999</v>
      </c>
      <c r="L256" s="34">
        <f t="shared" si="139"/>
        <v>6686.2161599999999</v>
      </c>
      <c r="M256" s="34">
        <f t="shared" si="139"/>
        <v>6686.2161599999999</v>
      </c>
      <c r="N256" s="34">
        <f t="shared" si="139"/>
        <v>6686.2161599999999</v>
      </c>
      <c r="O256" s="34"/>
      <c r="P256" s="34"/>
    </row>
    <row r="257" spans="2:31" x14ac:dyDescent="0.25">
      <c r="B257" s="34" t="s">
        <v>122</v>
      </c>
      <c r="C257" s="34"/>
      <c r="D257" s="34"/>
      <c r="E257" s="34"/>
      <c r="F257" s="34"/>
      <c r="G257" s="34"/>
      <c r="H257" s="34"/>
      <c r="I257" s="34"/>
      <c r="J257" s="34"/>
      <c r="K257" s="34"/>
      <c r="L257" s="34"/>
      <c r="M257" s="34"/>
      <c r="N257" s="34"/>
      <c r="O257" s="34"/>
      <c r="P257" s="34"/>
    </row>
    <row r="258" spans="2:31" x14ac:dyDescent="0.25">
      <c r="B258" s="59" t="s">
        <v>123</v>
      </c>
      <c r="C258" s="59">
        <f t="shared" ref="C258:N258" si="140">C257+C256</f>
        <v>6588.8440800000008</v>
      </c>
      <c r="D258" s="59">
        <f t="shared" si="140"/>
        <v>6686.2161599999999</v>
      </c>
      <c r="E258" s="59">
        <f t="shared" si="140"/>
        <v>6686.2161599999999</v>
      </c>
      <c r="F258" s="59">
        <f t="shared" si="140"/>
        <v>6686.2161599999999</v>
      </c>
      <c r="G258" s="59">
        <f t="shared" si="140"/>
        <v>6686.2161599999999</v>
      </c>
      <c r="H258" s="59">
        <f t="shared" si="140"/>
        <v>6686.2161599999999</v>
      </c>
      <c r="I258" s="59">
        <f t="shared" si="140"/>
        <v>6686.2161599999999</v>
      </c>
      <c r="J258" s="59">
        <f t="shared" si="140"/>
        <v>6686.2161599999999</v>
      </c>
      <c r="K258" s="59">
        <f t="shared" si="140"/>
        <v>6686.2161599999999</v>
      </c>
      <c r="L258" s="59">
        <f t="shared" si="140"/>
        <v>6686.2161599999999</v>
      </c>
      <c r="M258" s="59">
        <f t="shared" si="140"/>
        <v>6686.2161599999999</v>
      </c>
      <c r="N258" s="59">
        <f t="shared" si="140"/>
        <v>6686.2161599999999</v>
      </c>
      <c r="O258" s="34"/>
      <c r="P258" s="34"/>
    </row>
    <row r="259" spans="2:31" x14ac:dyDescent="0.25">
      <c r="B259" s="34" t="s">
        <v>124</v>
      </c>
      <c r="C259" s="165">
        <f t="shared" ref="C259:N259" si="141">C200</f>
        <v>2139.5891712000002</v>
      </c>
      <c r="D259" s="165">
        <f t="shared" si="141"/>
        <v>2139.5891712000002</v>
      </c>
      <c r="E259" s="165">
        <f t="shared" si="141"/>
        <v>2139.5891712000002</v>
      </c>
      <c r="F259" s="165">
        <f t="shared" si="141"/>
        <v>2139.5891712000002</v>
      </c>
      <c r="G259" s="165">
        <f t="shared" si="141"/>
        <v>2139.5891712000002</v>
      </c>
      <c r="H259" s="165">
        <f t="shared" si="141"/>
        <v>2139.5891712000002</v>
      </c>
      <c r="I259" s="165">
        <f t="shared" si="141"/>
        <v>2139.5891712000002</v>
      </c>
      <c r="J259" s="165">
        <f t="shared" si="141"/>
        <v>2139.5891712000002</v>
      </c>
      <c r="K259" s="165">
        <f t="shared" si="141"/>
        <v>2139.5891712000002</v>
      </c>
      <c r="L259" s="165">
        <f t="shared" si="141"/>
        <v>2139.5891712000002</v>
      </c>
      <c r="M259" s="165">
        <f t="shared" si="141"/>
        <v>2139.5891712000002</v>
      </c>
      <c r="N259" s="165">
        <f t="shared" si="141"/>
        <v>2139.5891712000002</v>
      </c>
      <c r="O259" s="34"/>
      <c r="P259" s="34"/>
      <c r="S259" s="228" t="s">
        <v>154</v>
      </c>
      <c r="T259" s="229"/>
      <c r="V259" s="224" t="s">
        <v>157</v>
      </c>
      <c r="W259" s="224"/>
      <c r="X259" s="224"/>
      <c r="Y259" s="224"/>
      <c r="Z259" s="224"/>
      <c r="AA259" s="224"/>
    </row>
    <row r="260" spans="2:31" ht="30" x14ac:dyDescent="0.25">
      <c r="B260" s="34" t="s">
        <v>125</v>
      </c>
      <c r="C260" s="165"/>
      <c r="D260" s="165"/>
      <c r="E260" s="165"/>
      <c r="F260" s="165"/>
      <c r="G260" s="165"/>
      <c r="H260" s="165"/>
      <c r="I260" s="165"/>
      <c r="J260" s="165"/>
      <c r="K260" s="165"/>
      <c r="L260" s="165"/>
      <c r="M260" s="165"/>
      <c r="N260" s="165"/>
      <c r="O260" s="34"/>
      <c r="P260" s="34"/>
      <c r="S260" s="143" t="s">
        <v>1</v>
      </c>
      <c r="T260" s="21">
        <f>P188</f>
        <v>66862.161600000007</v>
      </c>
      <c r="V260" s="144" t="s">
        <v>2</v>
      </c>
      <c r="W260" s="145" t="s">
        <v>3</v>
      </c>
      <c r="X260" s="145" t="s">
        <v>4</v>
      </c>
      <c r="Y260" s="145" t="s">
        <v>5</v>
      </c>
      <c r="Z260" s="146" t="s">
        <v>6</v>
      </c>
      <c r="AA260" s="147" t="s">
        <v>5</v>
      </c>
      <c r="AB260" s="287"/>
      <c r="AC260" s="286"/>
      <c r="AD260" s="286"/>
      <c r="AE260" s="286"/>
    </row>
    <row r="261" spans="2:31" x14ac:dyDescent="0.25">
      <c r="B261" s="34" t="s">
        <v>126</v>
      </c>
      <c r="C261" s="165">
        <f t="shared" ref="C261:N261" si="142">C217</f>
        <v>25625</v>
      </c>
      <c r="D261" s="165">
        <f t="shared" si="142"/>
        <v>25625</v>
      </c>
      <c r="E261" s="165">
        <f t="shared" si="142"/>
        <v>25625</v>
      </c>
      <c r="F261" s="165">
        <f t="shared" si="142"/>
        <v>25625</v>
      </c>
      <c r="G261" s="165">
        <f t="shared" si="142"/>
        <v>25625</v>
      </c>
      <c r="H261" s="165">
        <f t="shared" si="142"/>
        <v>25625</v>
      </c>
      <c r="I261" s="165">
        <f t="shared" si="142"/>
        <v>25625</v>
      </c>
      <c r="J261" s="165">
        <f t="shared" si="142"/>
        <v>25625</v>
      </c>
      <c r="K261" s="165">
        <f t="shared" si="142"/>
        <v>25625</v>
      </c>
      <c r="L261" s="165">
        <f t="shared" si="142"/>
        <v>25625</v>
      </c>
      <c r="M261" s="165">
        <f t="shared" si="142"/>
        <v>25625</v>
      </c>
      <c r="N261" s="165">
        <f t="shared" si="142"/>
        <v>25625</v>
      </c>
      <c r="O261" s="34"/>
      <c r="P261" s="34"/>
      <c r="S261" s="143" t="s">
        <v>67</v>
      </c>
      <c r="T261" s="21">
        <v>0</v>
      </c>
      <c r="V261" s="148" t="s">
        <v>8</v>
      </c>
      <c r="W261" s="148">
        <f>SUM(W262:W265)</f>
        <v>214000</v>
      </c>
      <c r="X261" s="148">
        <f>SUM(X262:X263)</f>
        <v>61600</v>
      </c>
      <c r="Y261" s="148">
        <f>SUM(Y262:Y263)</f>
        <v>152400</v>
      </c>
      <c r="Z261" s="148" t="s">
        <v>9</v>
      </c>
      <c r="AA261" s="149">
        <f>SUM(AA262:AA265)</f>
        <v>-1378362.4756929525</v>
      </c>
      <c r="AB261" s="287"/>
      <c r="AC261" s="286"/>
      <c r="AD261" s="286"/>
      <c r="AE261" s="286"/>
    </row>
    <row r="262" spans="2:31" ht="30" x14ac:dyDescent="0.25">
      <c r="B262" s="34" t="s">
        <v>21</v>
      </c>
      <c r="C262" s="165">
        <f t="shared" ref="C262:N262" si="143">C219</f>
        <v>10250</v>
      </c>
      <c r="D262" s="165">
        <f t="shared" si="143"/>
        <v>10250</v>
      </c>
      <c r="E262" s="165">
        <f t="shared" si="143"/>
        <v>10250</v>
      </c>
      <c r="F262" s="165">
        <f t="shared" si="143"/>
        <v>10250</v>
      </c>
      <c r="G262" s="165">
        <f t="shared" si="143"/>
        <v>10250</v>
      </c>
      <c r="H262" s="165">
        <f t="shared" si="143"/>
        <v>10250</v>
      </c>
      <c r="I262" s="165">
        <f t="shared" si="143"/>
        <v>10250</v>
      </c>
      <c r="J262" s="165">
        <f t="shared" si="143"/>
        <v>10250</v>
      </c>
      <c r="K262" s="165">
        <f t="shared" si="143"/>
        <v>10250</v>
      </c>
      <c r="L262" s="165">
        <f t="shared" si="143"/>
        <v>10250</v>
      </c>
      <c r="M262" s="165">
        <f t="shared" si="143"/>
        <v>10250</v>
      </c>
      <c r="N262" s="165">
        <f t="shared" si="143"/>
        <v>10250</v>
      </c>
      <c r="O262" s="34"/>
      <c r="P262" s="34"/>
      <c r="S262" s="144" t="s">
        <v>10</v>
      </c>
      <c r="T262" s="131">
        <f>T260+T261</f>
        <v>66862.161600000007</v>
      </c>
      <c r="V262" s="150" t="s">
        <v>11</v>
      </c>
      <c r="W262" s="150">
        <f>W167</f>
        <v>159000</v>
      </c>
      <c r="X262" s="150">
        <f>X167+P215*0.75</f>
        <v>25375</v>
      </c>
      <c r="Y262" s="150">
        <f>W262-X262</f>
        <v>133625</v>
      </c>
      <c r="Z262" s="150" t="s">
        <v>12</v>
      </c>
      <c r="AA262" s="151">
        <f>AA167</f>
        <v>80000</v>
      </c>
      <c r="AB262" s="162"/>
      <c r="AC262" s="118"/>
      <c r="AD262" s="118"/>
      <c r="AE262" s="118"/>
    </row>
    <row r="263" spans="2:31" x14ac:dyDescent="0.25">
      <c r="B263" s="34" t="s">
        <v>102</v>
      </c>
      <c r="C263" s="165">
        <f t="shared" ref="C263:N263" si="144">C226</f>
        <v>0</v>
      </c>
      <c r="D263" s="165">
        <f t="shared" si="144"/>
        <v>0</v>
      </c>
      <c r="E263" s="165">
        <f t="shared" si="144"/>
        <v>0</v>
      </c>
      <c r="F263" s="165">
        <f t="shared" si="144"/>
        <v>0</v>
      </c>
      <c r="G263" s="165">
        <f t="shared" si="144"/>
        <v>0</v>
      </c>
      <c r="H263" s="165">
        <f t="shared" si="144"/>
        <v>0</v>
      </c>
      <c r="I263" s="165">
        <f t="shared" si="144"/>
        <v>0</v>
      </c>
      <c r="J263" s="165">
        <f t="shared" si="144"/>
        <v>0</v>
      </c>
      <c r="K263" s="165">
        <f t="shared" si="144"/>
        <v>0</v>
      </c>
      <c r="L263" s="165">
        <f t="shared" si="144"/>
        <v>8200</v>
      </c>
      <c r="M263" s="165">
        <f t="shared" si="144"/>
        <v>0</v>
      </c>
      <c r="N263" s="165">
        <f t="shared" si="144"/>
        <v>0</v>
      </c>
      <c r="O263" s="34"/>
      <c r="P263" s="34"/>
      <c r="S263" s="143" t="s">
        <v>70</v>
      </c>
      <c r="T263" s="21">
        <f>P197</f>
        <v>21395.891712000008</v>
      </c>
      <c r="V263" s="150" t="s">
        <v>14</v>
      </c>
      <c r="W263" s="150">
        <f>W168</f>
        <v>55000</v>
      </c>
      <c r="X263" s="150">
        <f>X168+T268*0.25</f>
        <v>36225</v>
      </c>
      <c r="Y263" s="150">
        <f>W263-X263</f>
        <v>18775</v>
      </c>
      <c r="Z263" s="150" t="s">
        <v>15</v>
      </c>
      <c r="AA263" s="151">
        <v>5000</v>
      </c>
      <c r="AB263" s="152"/>
    </row>
    <row r="264" spans="2:31" x14ac:dyDescent="0.25">
      <c r="B264" s="34" t="s">
        <v>127</v>
      </c>
      <c r="C264" s="165">
        <f t="shared" ref="C264:N264" si="145">C213</f>
        <v>9391.5357142857119</v>
      </c>
      <c r="D264" s="165">
        <f t="shared" si="145"/>
        <v>9391.5357142857119</v>
      </c>
      <c r="E264" s="165">
        <f t="shared" si="145"/>
        <v>9391.5357142857119</v>
      </c>
      <c r="F264" s="165">
        <f t="shared" si="145"/>
        <v>9391.5357142857119</v>
      </c>
      <c r="G264" s="165">
        <f t="shared" si="145"/>
        <v>9391.5357142857119</v>
      </c>
      <c r="H264" s="165">
        <f t="shared" si="145"/>
        <v>9391.5357142857119</v>
      </c>
      <c r="I264" s="165">
        <f t="shared" si="145"/>
        <v>9391.5357142857119</v>
      </c>
      <c r="J264" s="165">
        <f t="shared" si="145"/>
        <v>9391.5357142857119</v>
      </c>
      <c r="K264" s="165">
        <f t="shared" si="145"/>
        <v>9391.5357142857119</v>
      </c>
      <c r="L264" s="165">
        <f t="shared" si="145"/>
        <v>9391.5357142857119</v>
      </c>
      <c r="M264" s="165">
        <f t="shared" si="145"/>
        <v>9391.5357142857119</v>
      </c>
      <c r="N264" s="165">
        <f t="shared" si="145"/>
        <v>9391.5357142857119</v>
      </c>
      <c r="O264" s="34"/>
      <c r="P264" s="34"/>
      <c r="S264" s="143" t="s">
        <v>73</v>
      </c>
      <c r="T264" s="21">
        <f>P206+P208+P209+P210</f>
        <v>94531.428571428565</v>
      </c>
      <c r="V264" s="148"/>
      <c r="W264" s="148"/>
      <c r="X264" s="148"/>
      <c r="Y264" s="148"/>
      <c r="Z264" s="150" t="s">
        <v>17</v>
      </c>
      <c r="AA264" s="151">
        <f>AA169+AA170</f>
        <v>-966697.31700952386</v>
      </c>
      <c r="AB264" s="152"/>
    </row>
    <row r="265" spans="2:31" x14ac:dyDescent="0.25">
      <c r="B265" s="34" t="s">
        <v>128</v>
      </c>
      <c r="C265" s="165">
        <f t="shared" ref="C265:N265" si="146">C229</f>
        <v>3450</v>
      </c>
      <c r="D265" s="165">
        <f t="shared" si="146"/>
        <v>3450</v>
      </c>
      <c r="E265" s="165">
        <f t="shared" si="146"/>
        <v>3450</v>
      </c>
      <c r="F265" s="165">
        <f t="shared" si="146"/>
        <v>3450</v>
      </c>
      <c r="G265" s="165">
        <f t="shared" si="146"/>
        <v>3450</v>
      </c>
      <c r="H265" s="165">
        <f t="shared" si="146"/>
        <v>3450</v>
      </c>
      <c r="I265" s="165">
        <f t="shared" si="146"/>
        <v>3450</v>
      </c>
      <c r="J265" s="165">
        <f t="shared" si="146"/>
        <v>3450</v>
      </c>
      <c r="K265" s="165">
        <f t="shared" si="146"/>
        <v>3450</v>
      </c>
      <c r="L265" s="165">
        <f t="shared" si="146"/>
        <v>3450</v>
      </c>
      <c r="M265" s="165">
        <f t="shared" si="146"/>
        <v>3450</v>
      </c>
      <c r="N265" s="165">
        <f t="shared" si="146"/>
        <v>3450</v>
      </c>
      <c r="O265" s="34"/>
      <c r="P265" s="34"/>
      <c r="S265" s="143" t="s">
        <v>18</v>
      </c>
      <c r="T265" s="21">
        <f>P225</f>
        <v>8200</v>
      </c>
      <c r="V265" s="150"/>
      <c r="W265" s="150"/>
      <c r="X265" s="150"/>
      <c r="Y265" s="150"/>
      <c r="Z265" s="150" t="s">
        <v>19</v>
      </c>
      <c r="AA265" s="151">
        <f>T277</f>
        <v>-496665.15868342854</v>
      </c>
      <c r="AB265" s="152"/>
    </row>
    <row r="266" spans="2:31" x14ac:dyDescent="0.25">
      <c r="B266" s="34" t="s">
        <v>129</v>
      </c>
      <c r="C266" s="165">
        <f t="shared" ref="C266:N266" si="147">C237</f>
        <v>0</v>
      </c>
      <c r="D266" s="165">
        <f t="shared" si="147"/>
        <v>0</v>
      </c>
      <c r="E266" s="165">
        <f t="shared" si="147"/>
        <v>0</v>
      </c>
      <c r="F266" s="165">
        <f t="shared" si="147"/>
        <v>0</v>
      </c>
      <c r="G266" s="165">
        <f t="shared" si="147"/>
        <v>0</v>
      </c>
      <c r="H266" s="165">
        <f t="shared" si="147"/>
        <v>0</v>
      </c>
      <c r="I266" s="165">
        <f t="shared" si="147"/>
        <v>0</v>
      </c>
      <c r="J266" s="165">
        <f t="shared" si="147"/>
        <v>0</v>
      </c>
      <c r="K266" s="165">
        <f t="shared" si="147"/>
        <v>0</v>
      </c>
      <c r="L266" s="165">
        <f t="shared" si="147"/>
        <v>0</v>
      </c>
      <c r="M266" s="165">
        <f t="shared" si="147"/>
        <v>0</v>
      </c>
      <c r="N266" s="165">
        <f t="shared" si="147"/>
        <v>0</v>
      </c>
      <c r="O266" s="34"/>
      <c r="P266" s="34"/>
      <c r="S266" s="143" t="s">
        <v>20</v>
      </c>
      <c r="T266" s="21">
        <f>P217</f>
        <v>307500</v>
      </c>
      <c r="V266" s="152"/>
      <c r="W266" s="153"/>
      <c r="Y266" s="153"/>
      <c r="Z266" s="151"/>
      <c r="AA266" s="149"/>
      <c r="AB266" s="162"/>
      <c r="AC266" s="118"/>
      <c r="AD266" s="118"/>
      <c r="AE266" s="118"/>
    </row>
    <row r="267" spans="2:31" x14ac:dyDescent="0.25">
      <c r="B267" s="34" t="s">
        <v>130</v>
      </c>
      <c r="C267" s="165">
        <f t="shared" ref="C267:N267" si="148">C250</f>
        <v>-706.06405333333328</v>
      </c>
      <c r="D267" s="165">
        <f t="shared" si="148"/>
        <v>-756.14550186666656</v>
      </c>
      <c r="E267" s="165">
        <f t="shared" si="148"/>
        <v>-756.14550186666656</v>
      </c>
      <c r="F267" s="165">
        <f t="shared" si="148"/>
        <v>-756.14550186666656</v>
      </c>
      <c r="G267" s="165">
        <f t="shared" si="148"/>
        <v>-756.14550186666656</v>
      </c>
      <c r="H267" s="165">
        <f t="shared" si="148"/>
        <v>-756.14550186666656</v>
      </c>
      <c r="I267" s="165">
        <f t="shared" si="148"/>
        <v>-756.14550186666656</v>
      </c>
      <c r="J267" s="165">
        <f t="shared" si="148"/>
        <v>-756.14550186666656</v>
      </c>
      <c r="K267" s="165">
        <f t="shared" si="148"/>
        <v>-756.14550186666656</v>
      </c>
      <c r="L267" s="165">
        <f t="shared" si="148"/>
        <v>-756.14550186666656</v>
      </c>
      <c r="M267" s="165">
        <f t="shared" si="148"/>
        <v>-756.14550186666656</v>
      </c>
      <c r="N267" s="165">
        <f t="shared" si="148"/>
        <v>-756.14550186666656</v>
      </c>
      <c r="O267" s="34"/>
      <c r="P267" s="34"/>
      <c r="S267" s="143" t="s">
        <v>21</v>
      </c>
      <c r="T267" s="21">
        <f>P218</f>
        <v>123000</v>
      </c>
      <c r="V267" s="148" t="s">
        <v>22</v>
      </c>
      <c r="W267" s="148">
        <f>SUM(W268:W270)</f>
        <v>-1502246.6211948181</v>
      </c>
      <c r="X267" s="148">
        <f>SUM(X268:X270)</f>
        <v>0</v>
      </c>
      <c r="Y267" s="148">
        <f>SUM(Y268:Y270)</f>
        <v>-1502246.6211948181</v>
      </c>
      <c r="Z267" s="148" t="s">
        <v>23</v>
      </c>
      <c r="AA267" s="149">
        <f>SUM(AA268:AA271)</f>
        <v>9493.8544981333325</v>
      </c>
      <c r="AB267" s="152"/>
    </row>
    <row r="268" spans="2:31" ht="30" x14ac:dyDescent="0.25">
      <c r="B268" s="59" t="s">
        <v>131</v>
      </c>
      <c r="C268" s="59">
        <f t="shared" ref="C268:N268" si="149">SUM(C259:C267)</f>
        <v>50150.060832152376</v>
      </c>
      <c r="D268" s="59">
        <f t="shared" si="149"/>
        <v>50099.979383619044</v>
      </c>
      <c r="E268" s="59">
        <f t="shared" si="149"/>
        <v>50099.979383619044</v>
      </c>
      <c r="F268" s="59">
        <f t="shared" si="149"/>
        <v>50099.979383619044</v>
      </c>
      <c r="G268" s="59">
        <f t="shared" si="149"/>
        <v>50099.979383619044</v>
      </c>
      <c r="H268" s="59">
        <f t="shared" si="149"/>
        <v>50099.979383619044</v>
      </c>
      <c r="I268" s="59">
        <f t="shared" si="149"/>
        <v>50099.979383619044</v>
      </c>
      <c r="J268" s="59">
        <f t="shared" si="149"/>
        <v>50099.979383619044</v>
      </c>
      <c r="K268" s="59">
        <f t="shared" si="149"/>
        <v>50099.979383619044</v>
      </c>
      <c r="L268" s="59">
        <f t="shared" si="149"/>
        <v>58299.979383619044</v>
      </c>
      <c r="M268" s="59">
        <f t="shared" si="149"/>
        <v>50099.979383619044</v>
      </c>
      <c r="N268" s="59">
        <f t="shared" si="149"/>
        <v>50099.979383619044</v>
      </c>
      <c r="O268" s="34"/>
      <c r="P268" s="34"/>
      <c r="S268" s="143" t="s">
        <v>75</v>
      </c>
      <c r="T268" s="21">
        <f>P215</f>
        <v>7500</v>
      </c>
      <c r="V268" s="150" t="s">
        <v>25</v>
      </c>
      <c r="W268" s="150">
        <v>15000</v>
      </c>
      <c r="X268" s="150"/>
      <c r="Y268" s="150">
        <f>W268-X268</f>
        <v>15000</v>
      </c>
      <c r="Z268" s="150" t="s">
        <v>26</v>
      </c>
      <c r="AA268" s="151">
        <f>0</f>
        <v>0</v>
      </c>
      <c r="AB268" s="152"/>
    </row>
    <row r="269" spans="2:31" x14ac:dyDescent="0.25">
      <c r="B269" s="59" t="s">
        <v>132</v>
      </c>
      <c r="C269" s="59">
        <f>W175</f>
        <v>-991277.11706285679</v>
      </c>
      <c r="D269" s="59">
        <f t="shared" ref="D269:N269" si="150">C271</f>
        <v>-1034838.3338150092</v>
      </c>
      <c r="E269" s="59">
        <f t="shared" si="150"/>
        <v>-1078252.0970386283</v>
      </c>
      <c r="F269" s="59">
        <f t="shared" si="150"/>
        <v>-1121665.8602622473</v>
      </c>
      <c r="G269" s="59">
        <f t="shared" si="150"/>
        <v>-1165079.6234858662</v>
      </c>
      <c r="H269" s="59">
        <f t="shared" si="150"/>
        <v>-1208493.3867094852</v>
      </c>
      <c r="I269" s="59">
        <f t="shared" si="150"/>
        <v>-1251907.1499331042</v>
      </c>
      <c r="J269" s="59">
        <f t="shared" si="150"/>
        <v>-1295320.9131567231</v>
      </c>
      <c r="K269" s="59">
        <f t="shared" si="150"/>
        <v>-1338734.6763803421</v>
      </c>
      <c r="L269" s="59">
        <f t="shared" si="150"/>
        <v>-1382148.4396039611</v>
      </c>
      <c r="M269" s="59">
        <f t="shared" si="150"/>
        <v>-1433762.20282758</v>
      </c>
      <c r="N269" s="59">
        <f t="shared" si="150"/>
        <v>-1477175.966051199</v>
      </c>
      <c r="O269" s="34"/>
      <c r="P269" s="34"/>
      <c r="S269" s="144" t="s">
        <v>76</v>
      </c>
      <c r="T269" s="131">
        <f>SUM(T263:T268)</f>
        <v>562127.32028342853</v>
      </c>
      <c r="V269" s="150" t="s">
        <v>28</v>
      </c>
      <c r="W269" s="150">
        <f>P191</f>
        <v>3343.10808</v>
      </c>
      <c r="X269" s="150"/>
      <c r="Y269" s="150">
        <f>W269-X269</f>
        <v>3343.10808</v>
      </c>
      <c r="Z269" s="150" t="s">
        <v>29</v>
      </c>
      <c r="AA269" s="151">
        <v>0</v>
      </c>
      <c r="AB269" s="162"/>
      <c r="AC269" s="118"/>
      <c r="AD269" s="118"/>
      <c r="AE269" s="118"/>
    </row>
    <row r="270" spans="2:31" x14ac:dyDescent="0.25">
      <c r="B270" s="34" t="s">
        <v>133</v>
      </c>
      <c r="C270" s="34">
        <f t="shared" ref="C270:N270" si="151">C258-C268</f>
        <v>-43561.216752152373</v>
      </c>
      <c r="D270" s="34">
        <f t="shared" si="151"/>
        <v>-43413.76322361904</v>
      </c>
      <c r="E270" s="34">
        <f t="shared" si="151"/>
        <v>-43413.76322361904</v>
      </c>
      <c r="F270" s="34">
        <f t="shared" si="151"/>
        <v>-43413.76322361904</v>
      </c>
      <c r="G270" s="34">
        <f t="shared" si="151"/>
        <v>-43413.76322361904</v>
      </c>
      <c r="H270" s="34">
        <f t="shared" si="151"/>
        <v>-43413.76322361904</v>
      </c>
      <c r="I270" s="34">
        <f t="shared" si="151"/>
        <v>-43413.76322361904</v>
      </c>
      <c r="J270" s="34">
        <f t="shared" si="151"/>
        <v>-43413.76322361904</v>
      </c>
      <c r="K270" s="34">
        <f t="shared" si="151"/>
        <v>-43413.76322361904</v>
      </c>
      <c r="L270" s="34">
        <f t="shared" si="151"/>
        <v>-51613.76322361904</v>
      </c>
      <c r="M270" s="34">
        <f t="shared" si="151"/>
        <v>-43413.76322361904</v>
      </c>
      <c r="N270" s="34">
        <f t="shared" si="151"/>
        <v>-43413.76322361904</v>
      </c>
      <c r="O270" s="34"/>
      <c r="P270" s="34"/>
      <c r="S270" s="154" t="s">
        <v>30</v>
      </c>
      <c r="T270" s="155">
        <f>T262-T269</f>
        <v>-495265.15868342854</v>
      </c>
      <c r="V270" s="150" t="s">
        <v>34</v>
      </c>
      <c r="W270" s="150">
        <f>AE255</f>
        <v>-1520589.729274818</v>
      </c>
      <c r="X270" s="150"/>
      <c r="Y270" s="150">
        <f>W270-X270</f>
        <v>-1520589.729274818</v>
      </c>
      <c r="Z270" s="150" t="s">
        <v>32</v>
      </c>
      <c r="AA270" s="151">
        <f>P250+P219</f>
        <v>9493.8544981333325</v>
      </c>
      <c r="AB270" s="152"/>
    </row>
    <row r="271" spans="2:31" x14ac:dyDescent="0.25">
      <c r="B271" s="59" t="s">
        <v>134</v>
      </c>
      <c r="C271" s="59">
        <f t="shared" ref="C271:N271" si="152">C269+C270</f>
        <v>-1034838.3338150092</v>
      </c>
      <c r="D271" s="59">
        <f t="shared" si="152"/>
        <v>-1078252.0970386283</v>
      </c>
      <c r="E271" s="59">
        <f t="shared" si="152"/>
        <v>-1121665.8602622473</v>
      </c>
      <c r="F271" s="59">
        <f t="shared" si="152"/>
        <v>-1165079.6234858662</v>
      </c>
      <c r="G271" s="59">
        <f t="shared" si="152"/>
        <v>-1208493.3867094852</v>
      </c>
      <c r="H271" s="59">
        <f t="shared" si="152"/>
        <v>-1251907.1499331042</v>
      </c>
      <c r="I271" s="59">
        <f t="shared" si="152"/>
        <v>-1295320.9131567231</v>
      </c>
      <c r="J271" s="59">
        <f t="shared" si="152"/>
        <v>-1338734.6763803421</v>
      </c>
      <c r="K271" s="59">
        <f t="shared" si="152"/>
        <v>-1382148.4396039611</v>
      </c>
      <c r="L271" s="59">
        <f t="shared" si="152"/>
        <v>-1433762.20282758</v>
      </c>
      <c r="M271" s="59">
        <f t="shared" si="152"/>
        <v>-1477175.966051199</v>
      </c>
      <c r="N271" s="59">
        <f t="shared" si="152"/>
        <v>-1520589.729274818</v>
      </c>
      <c r="O271" s="60" t="s">
        <v>135</v>
      </c>
      <c r="P271" s="61">
        <f>N271</f>
        <v>-1520589.729274818</v>
      </c>
      <c r="S271" s="144" t="s">
        <v>33</v>
      </c>
      <c r="T271" s="131">
        <v>0</v>
      </c>
      <c r="V271" s="150"/>
      <c r="W271" s="150"/>
      <c r="X271" s="150"/>
      <c r="Y271" s="150"/>
      <c r="Z271" s="150" t="s">
        <v>221</v>
      </c>
      <c r="AA271" s="151">
        <f>AA176+SUM(T248:AE248)</f>
        <v>0</v>
      </c>
      <c r="AB271" s="152"/>
    </row>
    <row r="272" spans="2:31" x14ac:dyDescent="0.25">
      <c r="S272" s="143" t="s">
        <v>36</v>
      </c>
      <c r="T272" s="21">
        <f>P227+SUM(T251:AE251)</f>
        <v>1400.0000000000002</v>
      </c>
      <c r="V272" s="156" t="s">
        <v>38</v>
      </c>
      <c r="W272" s="156">
        <f>W261+W267</f>
        <v>-1288246.6211948181</v>
      </c>
      <c r="X272" s="156">
        <f>X261</f>
        <v>61600</v>
      </c>
      <c r="Y272" s="156">
        <f>W272-X272</f>
        <v>-1349846.6211948181</v>
      </c>
      <c r="Z272" s="156" t="s">
        <v>39</v>
      </c>
      <c r="AA272" s="157">
        <f>AA261+AA267</f>
        <v>-1368868.6211948192</v>
      </c>
      <c r="AB272" s="152"/>
    </row>
    <row r="273" spans="19:27" x14ac:dyDescent="0.25">
      <c r="S273" s="144" t="s">
        <v>37</v>
      </c>
      <c r="T273" s="131">
        <f>T272</f>
        <v>1400.0000000000002</v>
      </c>
      <c r="Z273" s="158" t="s">
        <v>42</v>
      </c>
      <c r="AA273" s="159">
        <f>Y272-AA272</f>
        <v>19022.000000001164</v>
      </c>
    </row>
    <row r="274" spans="19:27" x14ac:dyDescent="0.25">
      <c r="S274" s="154" t="s">
        <v>40</v>
      </c>
      <c r="T274" s="155">
        <f>T271-T273</f>
        <v>-1400.0000000000002</v>
      </c>
    </row>
    <row r="275" spans="19:27" x14ac:dyDescent="0.25">
      <c r="S275" s="154" t="s">
        <v>43</v>
      </c>
      <c r="T275" s="155">
        <f>T270-(-T274)</f>
        <v>-496665.15868342854</v>
      </c>
    </row>
    <row r="276" spans="19:27" x14ac:dyDescent="0.25">
      <c r="S276" s="154" t="s">
        <v>45</v>
      </c>
      <c r="T276" s="21"/>
    </row>
    <row r="277" spans="19:27" x14ac:dyDescent="0.25">
      <c r="S277" s="160" t="s">
        <v>47</v>
      </c>
      <c r="T277" s="161">
        <f>T275</f>
        <v>-496665.15868342854</v>
      </c>
    </row>
  </sheetData>
  <mergeCells count="371">
    <mergeCell ref="AB260:AB261"/>
    <mergeCell ref="AC260:AC261"/>
    <mergeCell ref="AD260:AD261"/>
    <mergeCell ref="AE260:AE261"/>
    <mergeCell ref="I254:I255"/>
    <mergeCell ref="J254:J255"/>
    <mergeCell ref="K254:K255"/>
    <mergeCell ref="L254:L255"/>
    <mergeCell ref="M254:M255"/>
    <mergeCell ref="N254:N255"/>
    <mergeCell ref="B253:P253"/>
    <mergeCell ref="S259:T259"/>
    <mergeCell ref="V259:AA259"/>
    <mergeCell ref="B254:B255"/>
    <mergeCell ref="C254:C255"/>
    <mergeCell ref="D254:D255"/>
    <mergeCell ref="E254:E255"/>
    <mergeCell ref="F254:F255"/>
    <mergeCell ref="G254:G255"/>
    <mergeCell ref="H254:H255"/>
    <mergeCell ref="O254:P254"/>
    <mergeCell ref="B232:P232"/>
    <mergeCell ref="B233:B234"/>
    <mergeCell ref="C233:C234"/>
    <mergeCell ref="AE243:AE244"/>
    <mergeCell ref="B241:P241"/>
    <mergeCell ref="B242:B243"/>
    <mergeCell ref="C242:C243"/>
    <mergeCell ref="D242:D243"/>
    <mergeCell ref="E242:E243"/>
    <mergeCell ref="F242:F243"/>
    <mergeCell ref="G242:G243"/>
    <mergeCell ref="H242:H243"/>
    <mergeCell ref="I242:I243"/>
    <mergeCell ref="Y243:Y244"/>
    <mergeCell ref="Z243:Z244"/>
    <mergeCell ref="AA243:AA244"/>
    <mergeCell ref="AB243:AB244"/>
    <mergeCell ref="AC243:AC244"/>
    <mergeCell ref="AD243:AD244"/>
    <mergeCell ref="S243:S244"/>
    <mergeCell ref="T243:T244"/>
    <mergeCell ref="U243:U244"/>
    <mergeCell ref="V243:V244"/>
    <mergeCell ref="W243:W244"/>
    <mergeCell ref="X243:X244"/>
    <mergeCell ref="J233:J234"/>
    <mergeCell ref="K233:K234"/>
    <mergeCell ref="L233:L234"/>
    <mergeCell ref="M233:M234"/>
    <mergeCell ref="N233:N234"/>
    <mergeCell ref="O233:P233"/>
    <mergeCell ref="J242:J243"/>
    <mergeCell ref="K242:K243"/>
    <mergeCell ref="L242:L243"/>
    <mergeCell ref="M242:M243"/>
    <mergeCell ref="N242:N243"/>
    <mergeCell ref="O242:P242"/>
    <mergeCell ref="D233:D234"/>
    <mergeCell ref="E233:E234"/>
    <mergeCell ref="F233:F234"/>
    <mergeCell ref="G233:G234"/>
    <mergeCell ref="H233:H234"/>
    <mergeCell ref="I233:I234"/>
    <mergeCell ref="N204:N205"/>
    <mergeCell ref="O204:P204"/>
    <mergeCell ref="B222:P222"/>
    <mergeCell ref="B223:B224"/>
    <mergeCell ref="C223:C224"/>
    <mergeCell ref="D223:D224"/>
    <mergeCell ref="E223:E224"/>
    <mergeCell ref="F223:F224"/>
    <mergeCell ref="G223:G224"/>
    <mergeCell ref="H223:H224"/>
    <mergeCell ref="H204:H205"/>
    <mergeCell ref="I204:I205"/>
    <mergeCell ref="J204:J205"/>
    <mergeCell ref="K204:K205"/>
    <mergeCell ref="L204:L205"/>
    <mergeCell ref="M204:M205"/>
    <mergeCell ref="B204:B205"/>
    <mergeCell ref="C204:C205"/>
    <mergeCell ref="D204:D205"/>
    <mergeCell ref="E204:E205"/>
    <mergeCell ref="F204:F205"/>
    <mergeCell ref="G204:G205"/>
    <mergeCell ref="O223:P223"/>
    <mergeCell ref="I223:I224"/>
    <mergeCell ref="K195:K196"/>
    <mergeCell ref="L195:L196"/>
    <mergeCell ref="M195:M196"/>
    <mergeCell ref="N195:N196"/>
    <mergeCell ref="O195:P195"/>
    <mergeCell ref="B203:P203"/>
    <mergeCell ref="J223:J224"/>
    <mergeCell ref="K223:K224"/>
    <mergeCell ref="L223:L224"/>
    <mergeCell ref="M223:M224"/>
    <mergeCell ref="N223:N224"/>
    <mergeCell ref="B194:P194"/>
    <mergeCell ref="B195:B196"/>
    <mergeCell ref="C195:C196"/>
    <mergeCell ref="D195:D196"/>
    <mergeCell ref="E195:E196"/>
    <mergeCell ref="F195:F196"/>
    <mergeCell ref="G195:G196"/>
    <mergeCell ref="H195:H196"/>
    <mergeCell ref="I195:I196"/>
    <mergeCell ref="J195:J196"/>
    <mergeCell ref="J186:J187"/>
    <mergeCell ref="K186:K187"/>
    <mergeCell ref="L186:L187"/>
    <mergeCell ref="M186:M187"/>
    <mergeCell ref="N186:N187"/>
    <mergeCell ref="O186:P186"/>
    <mergeCell ref="B182:P182"/>
    <mergeCell ref="B185:P185"/>
    <mergeCell ref="B186:B187"/>
    <mergeCell ref="C186:C187"/>
    <mergeCell ref="D186:D187"/>
    <mergeCell ref="E186:E187"/>
    <mergeCell ref="F186:F187"/>
    <mergeCell ref="G186:G187"/>
    <mergeCell ref="H186:H187"/>
    <mergeCell ref="I186:I187"/>
    <mergeCell ref="AB165:AB166"/>
    <mergeCell ref="AC165:AC166"/>
    <mergeCell ref="AD165:AD166"/>
    <mergeCell ref="AE165:AE166"/>
    <mergeCell ref="H162:H163"/>
    <mergeCell ref="I162:I163"/>
    <mergeCell ref="J162:J163"/>
    <mergeCell ref="K162:K163"/>
    <mergeCell ref="L162:L163"/>
    <mergeCell ref="M162:M163"/>
    <mergeCell ref="B161:P161"/>
    <mergeCell ref="S164:T164"/>
    <mergeCell ref="V164:AA164"/>
    <mergeCell ref="B162:B163"/>
    <mergeCell ref="C162:C163"/>
    <mergeCell ref="D162:D163"/>
    <mergeCell ref="E162:E163"/>
    <mergeCell ref="F162:F163"/>
    <mergeCell ref="G162:G163"/>
    <mergeCell ref="N162:N163"/>
    <mergeCell ref="O162:P162"/>
    <mergeCell ref="AD148:AD149"/>
    <mergeCell ref="AE148:AE149"/>
    <mergeCell ref="B149:P149"/>
    <mergeCell ref="B150:B151"/>
    <mergeCell ref="C150:C151"/>
    <mergeCell ref="D150:D151"/>
    <mergeCell ref="E150:E151"/>
    <mergeCell ref="F150:F151"/>
    <mergeCell ref="G150:G151"/>
    <mergeCell ref="H150:H151"/>
    <mergeCell ref="X148:X149"/>
    <mergeCell ref="Y148:Y149"/>
    <mergeCell ref="Z148:Z149"/>
    <mergeCell ref="AA148:AA149"/>
    <mergeCell ref="AB148:AB149"/>
    <mergeCell ref="AC148:AC149"/>
    <mergeCell ref="O150:P150"/>
    <mergeCell ref="I150:I151"/>
    <mergeCell ref="J150:J151"/>
    <mergeCell ref="K150:K151"/>
    <mergeCell ref="L150:L151"/>
    <mergeCell ref="M150:M151"/>
    <mergeCell ref="N150:N151"/>
    <mergeCell ref="S148:S149"/>
    <mergeCell ref="T148:T149"/>
    <mergeCell ref="U148:U149"/>
    <mergeCell ref="V148:V149"/>
    <mergeCell ref="W148:W149"/>
    <mergeCell ref="I141:I142"/>
    <mergeCell ref="J141:J142"/>
    <mergeCell ref="K141:K142"/>
    <mergeCell ref="L141:L142"/>
    <mergeCell ref="M141:M142"/>
    <mergeCell ref="N141:N142"/>
    <mergeCell ref="N131:N132"/>
    <mergeCell ref="O131:P131"/>
    <mergeCell ref="B140:P140"/>
    <mergeCell ref="B141:B142"/>
    <mergeCell ref="C141:C142"/>
    <mergeCell ref="D141:D142"/>
    <mergeCell ref="E141:E142"/>
    <mergeCell ref="F141:F142"/>
    <mergeCell ref="G141:G142"/>
    <mergeCell ref="H141:H142"/>
    <mergeCell ref="H131:H132"/>
    <mergeCell ref="I131:I132"/>
    <mergeCell ref="J131:J132"/>
    <mergeCell ref="K131:K132"/>
    <mergeCell ref="L131:L132"/>
    <mergeCell ref="M131:M132"/>
    <mergeCell ref="B131:B132"/>
    <mergeCell ref="C131:C132"/>
    <mergeCell ref="D131:D132"/>
    <mergeCell ref="E131:E132"/>
    <mergeCell ref="F131:F132"/>
    <mergeCell ref="G131:G132"/>
    <mergeCell ref="O141:P141"/>
    <mergeCell ref="K113:K114"/>
    <mergeCell ref="L113:L114"/>
    <mergeCell ref="M113:M114"/>
    <mergeCell ref="N113:N114"/>
    <mergeCell ref="O113:P113"/>
    <mergeCell ref="B130:P130"/>
    <mergeCell ref="B112:P112"/>
    <mergeCell ref="B113:B114"/>
    <mergeCell ref="C113:C114"/>
    <mergeCell ref="D113:D114"/>
    <mergeCell ref="E113:E114"/>
    <mergeCell ref="F113:F114"/>
    <mergeCell ref="G113:G114"/>
    <mergeCell ref="H113:H114"/>
    <mergeCell ref="I113:I114"/>
    <mergeCell ref="J113:J114"/>
    <mergeCell ref="J104:J105"/>
    <mergeCell ref="K104:K105"/>
    <mergeCell ref="L104:L105"/>
    <mergeCell ref="M104:M105"/>
    <mergeCell ref="N104:N105"/>
    <mergeCell ref="O104:P104"/>
    <mergeCell ref="O95:P95"/>
    <mergeCell ref="B103:P103"/>
    <mergeCell ref="B104:B105"/>
    <mergeCell ref="C104:C105"/>
    <mergeCell ref="D104:D105"/>
    <mergeCell ref="E104:E105"/>
    <mergeCell ref="F104:F105"/>
    <mergeCell ref="G104:G105"/>
    <mergeCell ref="H104:H105"/>
    <mergeCell ref="I104:I105"/>
    <mergeCell ref="I95:I96"/>
    <mergeCell ref="J95:J96"/>
    <mergeCell ref="K95:K96"/>
    <mergeCell ref="L95:L96"/>
    <mergeCell ref="M95:M96"/>
    <mergeCell ref="N95:N96"/>
    <mergeCell ref="V71:AA71"/>
    <mergeCell ref="B91:P91"/>
    <mergeCell ref="B94:P94"/>
    <mergeCell ref="B95:B96"/>
    <mergeCell ref="C95:C96"/>
    <mergeCell ref="D95:D96"/>
    <mergeCell ref="E95:E96"/>
    <mergeCell ref="F95:F96"/>
    <mergeCell ref="G95:G96"/>
    <mergeCell ref="H95:H96"/>
    <mergeCell ref="K70:K71"/>
    <mergeCell ref="L70:L71"/>
    <mergeCell ref="M70:M71"/>
    <mergeCell ref="N70:N71"/>
    <mergeCell ref="O70:P70"/>
    <mergeCell ref="S71:T71"/>
    <mergeCell ref="O38:P38"/>
    <mergeCell ref="B69:P69"/>
    <mergeCell ref="B70:B71"/>
    <mergeCell ref="C70:C71"/>
    <mergeCell ref="D70:D71"/>
    <mergeCell ref="E70:E71"/>
    <mergeCell ref="F70:F71"/>
    <mergeCell ref="G70:G71"/>
    <mergeCell ref="H70:H71"/>
    <mergeCell ref="I70:I71"/>
    <mergeCell ref="J70:J71"/>
    <mergeCell ref="W48:W49"/>
    <mergeCell ref="F38:F39"/>
    <mergeCell ref="J58:J59"/>
    <mergeCell ref="K58:K59"/>
    <mergeCell ref="L58:L59"/>
    <mergeCell ref="M58:M59"/>
    <mergeCell ref="N58:N59"/>
    <mergeCell ref="O58:P58"/>
    <mergeCell ref="O49:P49"/>
    <mergeCell ref="B57:P57"/>
    <mergeCell ref="B58:B59"/>
    <mergeCell ref="C58:C59"/>
    <mergeCell ref="D58:D59"/>
    <mergeCell ref="E58:E59"/>
    <mergeCell ref="F58:F59"/>
    <mergeCell ref="G58:G59"/>
    <mergeCell ref="H58:H59"/>
    <mergeCell ref="I58:I59"/>
    <mergeCell ref="I49:I50"/>
    <mergeCell ref="J49:J50"/>
    <mergeCell ref="K49:K50"/>
    <mergeCell ref="L49:L50"/>
    <mergeCell ref="M49:M50"/>
    <mergeCell ref="N49:N50"/>
    <mergeCell ref="F21:F22"/>
    <mergeCell ref="G21:G22"/>
    <mergeCell ref="B21:B22"/>
    <mergeCell ref="C21:C22"/>
    <mergeCell ref="AD48:AD49"/>
    <mergeCell ref="AE48:AE49"/>
    <mergeCell ref="B48:P48"/>
    <mergeCell ref="B49:B50"/>
    <mergeCell ref="C49:C50"/>
    <mergeCell ref="D49:D50"/>
    <mergeCell ref="E49:E50"/>
    <mergeCell ref="F49:F50"/>
    <mergeCell ref="G49:G50"/>
    <mergeCell ref="H49:H50"/>
    <mergeCell ref="X48:X49"/>
    <mergeCell ref="Y48:Y49"/>
    <mergeCell ref="Z48:Z49"/>
    <mergeCell ref="AA48:AA49"/>
    <mergeCell ref="AB48:AB49"/>
    <mergeCell ref="AC48:AC49"/>
    <mergeCell ref="S48:S49"/>
    <mergeCell ref="T48:T49"/>
    <mergeCell ref="U48:U49"/>
    <mergeCell ref="V48:V49"/>
    <mergeCell ref="B20:P20"/>
    <mergeCell ref="I38:I39"/>
    <mergeCell ref="J38:J39"/>
    <mergeCell ref="K38:K39"/>
    <mergeCell ref="L38:L39"/>
    <mergeCell ref="M38:M39"/>
    <mergeCell ref="N38:N39"/>
    <mergeCell ref="N21:N22"/>
    <mergeCell ref="O21:P21"/>
    <mergeCell ref="B37:P37"/>
    <mergeCell ref="B38:B39"/>
    <mergeCell ref="C38:C39"/>
    <mergeCell ref="D38:D39"/>
    <mergeCell ref="E38:E39"/>
    <mergeCell ref="G38:G39"/>
    <mergeCell ref="H38:H39"/>
    <mergeCell ref="H21:H22"/>
    <mergeCell ref="I21:I22"/>
    <mergeCell ref="J21:J22"/>
    <mergeCell ref="K21:K22"/>
    <mergeCell ref="L21:L22"/>
    <mergeCell ref="M21:M22"/>
    <mergeCell ref="D21:D22"/>
    <mergeCell ref="E21:E22"/>
    <mergeCell ref="B11:P11"/>
    <mergeCell ref="B12:B13"/>
    <mergeCell ref="C12:C13"/>
    <mergeCell ref="D12:D13"/>
    <mergeCell ref="E12:E13"/>
    <mergeCell ref="F12:F13"/>
    <mergeCell ref="G12:G13"/>
    <mergeCell ref="H12:H13"/>
    <mergeCell ref="I12:I13"/>
    <mergeCell ref="J12:J13"/>
    <mergeCell ref="K12:K13"/>
    <mergeCell ref="L12:L13"/>
    <mergeCell ref="M12:M13"/>
    <mergeCell ref="N12:N13"/>
    <mergeCell ref="O12:P12"/>
    <mergeCell ref="J3:J4"/>
    <mergeCell ref="K3:K4"/>
    <mergeCell ref="L3:L4"/>
    <mergeCell ref="M3:M4"/>
    <mergeCell ref="N3:N4"/>
    <mergeCell ref="O3:P3"/>
    <mergeCell ref="B1:P1"/>
    <mergeCell ref="B2:P2"/>
    <mergeCell ref="B3:B4"/>
    <mergeCell ref="C3:C4"/>
    <mergeCell ref="D3:D4"/>
    <mergeCell ref="E3:E4"/>
    <mergeCell ref="F3:F4"/>
    <mergeCell ref="G3:G4"/>
    <mergeCell ref="H3:H4"/>
    <mergeCell ref="I3:I4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D03E9A-7CCF-4A75-ABA8-05E9EC75FD65}">
  <sheetPr codeName="Feuil19">
    <tabColor theme="4" tint="0.39997558519241921"/>
  </sheetPr>
  <dimension ref="B2:Q62"/>
  <sheetViews>
    <sheetView showGridLines="0" tabSelected="1" topLeftCell="A7" zoomScale="69" zoomScaleNormal="69" workbookViewId="0">
      <selection activeCell="Q32" sqref="Q32"/>
    </sheetView>
  </sheetViews>
  <sheetFormatPr baseColWidth="10" defaultColWidth="10.7109375" defaultRowHeight="15" x14ac:dyDescent="0.25"/>
  <cols>
    <col min="1" max="1" width="10.28515625" style="20" customWidth="1"/>
    <col min="2" max="2" width="46" style="20" customWidth="1"/>
    <col min="3" max="3" width="17.28515625" style="20" customWidth="1"/>
    <col min="4" max="10" width="10.7109375" style="20"/>
    <col min="11" max="11" width="19.7109375" style="20" customWidth="1"/>
    <col min="12" max="12" width="13.28515625" style="20" bestFit="1" customWidth="1"/>
    <col min="13" max="13" width="14.42578125" style="20" customWidth="1"/>
    <col min="14" max="14" width="13.5703125" style="20" customWidth="1"/>
    <col min="15" max="15" width="16.140625" style="20" bestFit="1" customWidth="1"/>
    <col min="16" max="16" width="11.42578125" style="20" bestFit="1" customWidth="1"/>
    <col min="17" max="16384" width="10.7109375" style="20"/>
  </cols>
  <sheetData>
    <row r="2" spans="2:17" x14ac:dyDescent="0.25">
      <c r="B2" s="118"/>
    </row>
    <row r="3" spans="2:17" x14ac:dyDescent="0.25">
      <c r="B3" s="20" t="s">
        <v>235</v>
      </c>
    </row>
    <row r="4" spans="2:17" x14ac:dyDescent="0.25">
      <c r="B4" s="112"/>
      <c r="C4" s="112" t="s">
        <v>48</v>
      </c>
      <c r="D4" s="112" t="s">
        <v>136</v>
      </c>
      <c r="E4" s="112" t="s">
        <v>152</v>
      </c>
      <c r="F4" s="112" t="s">
        <v>201</v>
      </c>
      <c r="G4" s="112" t="s">
        <v>236</v>
      </c>
    </row>
    <row r="5" spans="2:17" x14ac:dyDescent="0.25">
      <c r="B5" s="59" t="s">
        <v>237</v>
      </c>
      <c r="C5" s="59">
        <f>SUM(C6:C9)</f>
        <v>230034.66666666666</v>
      </c>
      <c r="D5" s="59">
        <f>SUM(D6:D9)</f>
        <v>105.03999999999951</v>
      </c>
      <c r="E5" s="59">
        <f>SUM(E6:E9)</f>
        <v>108.19120000000066</v>
      </c>
      <c r="F5" s="59">
        <f>SUM(F6:F9)</f>
        <v>0</v>
      </c>
      <c r="G5" s="59">
        <f>SUM(G6:G9)</f>
        <v>0</v>
      </c>
      <c r="K5" s="292" t="s">
        <v>48</v>
      </c>
      <c r="L5" s="293"/>
      <c r="O5" s="294" t="s">
        <v>238</v>
      </c>
      <c r="P5" s="295"/>
      <c r="Q5" s="295"/>
    </row>
    <row r="6" spans="2:17" x14ac:dyDescent="0.25">
      <c r="B6" s="34" t="s">
        <v>277</v>
      </c>
      <c r="C6" s="34">
        <f>200000</f>
        <v>200000</v>
      </c>
      <c r="D6" s="34"/>
      <c r="E6" s="34"/>
      <c r="F6" s="34"/>
      <c r="G6" s="34"/>
      <c r="K6" s="190" t="s">
        <v>240</v>
      </c>
      <c r="L6" s="125">
        <f>'Hypothèse | 3 ans'!T72</f>
        <v>63648</v>
      </c>
      <c r="O6" s="155" t="s">
        <v>241</v>
      </c>
      <c r="P6" s="21">
        <f>'Bilan et CDR N'!C5*20/360</f>
        <v>3466.6666666666665</v>
      </c>
      <c r="Q6" s="134" t="s">
        <v>242</v>
      </c>
    </row>
    <row r="7" spans="2:17" x14ac:dyDescent="0.25">
      <c r="B7" s="34" t="s">
        <v>238</v>
      </c>
      <c r="C7" s="34">
        <f>Q7</f>
        <v>34.66666666666697</v>
      </c>
      <c r="D7" s="20">
        <f>Q8</f>
        <v>105.03999999999951</v>
      </c>
      <c r="E7" s="34">
        <f>Q9</f>
        <v>108.19120000000066</v>
      </c>
      <c r="F7" s="34"/>
      <c r="G7" s="34"/>
      <c r="K7" s="190" t="s">
        <v>243</v>
      </c>
      <c r="L7" s="125">
        <f>'Hypothèse | 3 ans'!T73</f>
        <v>19094.400000000005</v>
      </c>
      <c r="O7" s="155" t="s">
        <v>244</v>
      </c>
      <c r="P7" s="21">
        <f>'Hyp retenue | 3 ans + CB+ Compt'!P5*20/360</f>
        <v>3501.3333333333335</v>
      </c>
      <c r="Q7" s="21">
        <f>P7-P6</f>
        <v>34.66666666666697</v>
      </c>
    </row>
    <row r="8" spans="2:17" x14ac:dyDescent="0.25">
      <c r="B8" s="34" t="s">
        <v>245</v>
      </c>
      <c r="C8" s="34"/>
      <c r="D8" s="34"/>
      <c r="E8" s="34"/>
      <c r="F8" s="34"/>
      <c r="G8" s="34"/>
      <c r="K8" s="190" t="s">
        <v>246</v>
      </c>
      <c r="L8" s="125">
        <f>'Hypothèse | 3 ans'!T74</f>
        <v>85200</v>
      </c>
      <c r="O8" s="155" t="s">
        <v>247</v>
      </c>
      <c r="P8" s="21">
        <f>'Hyp retenue | 3 ans + CB+ Compt'!P97*20/360</f>
        <v>3606.373333333333</v>
      </c>
      <c r="Q8" s="21">
        <f>P8-P7</f>
        <v>105.03999999999951</v>
      </c>
    </row>
    <row r="9" spans="2:17" x14ac:dyDescent="0.25">
      <c r="B9" s="34" t="s">
        <v>209</v>
      </c>
      <c r="C9" s="34">
        <v>30000</v>
      </c>
      <c r="D9" s="34"/>
      <c r="E9" s="34"/>
      <c r="F9" s="34"/>
      <c r="G9" s="34"/>
      <c r="K9" s="190" t="s">
        <v>248</v>
      </c>
      <c r="L9" s="125">
        <f>'Hypothèse | 3 ans'!T76+'Hypothèse | 3 ans'!T77</f>
        <v>430500</v>
      </c>
      <c r="O9" s="155" t="s">
        <v>249</v>
      </c>
      <c r="P9" s="21">
        <f>'Hyp retenue | 3 ans + CB+ Compt'!P188*20/360</f>
        <v>3714.5645333333337</v>
      </c>
      <c r="Q9" s="21">
        <f>P9-P8</f>
        <v>108.19120000000066</v>
      </c>
    </row>
    <row r="10" spans="2:17" x14ac:dyDescent="0.25">
      <c r="B10" s="59" t="s">
        <v>250</v>
      </c>
      <c r="C10" s="59">
        <f>SUM(C11:C15)</f>
        <v>-363099.20357142854</v>
      </c>
      <c r="D10" s="59">
        <f>SUM(D11:D15)</f>
        <v>-358933.07000476192</v>
      </c>
      <c r="E10" s="59">
        <f>SUM(E11:E15)</f>
        <v>-359161.14028742857</v>
      </c>
      <c r="F10" s="59">
        <f>SUM(F11:F15)</f>
        <v>-359161.14028742857</v>
      </c>
      <c r="G10" s="59">
        <f>SUM(G11:G15)</f>
        <v>-359161.14028742857</v>
      </c>
      <c r="K10" s="191" t="s">
        <v>251</v>
      </c>
      <c r="L10" s="126">
        <f>'Hypothèse | 3 ans'!T75</f>
        <v>8200</v>
      </c>
      <c r="O10" s="155" t="s">
        <v>252</v>
      </c>
      <c r="P10" s="21">
        <f>P9</f>
        <v>3714.5645333333337</v>
      </c>
      <c r="Q10" s="21">
        <f>P10-P9</f>
        <v>0</v>
      </c>
    </row>
    <row r="11" spans="2:17" x14ac:dyDescent="0.25">
      <c r="B11" s="34" t="s">
        <v>253</v>
      </c>
      <c r="C11" s="34">
        <f>L53</f>
        <v>-363099.20357142854</v>
      </c>
      <c r="D11" s="34">
        <f>M53</f>
        <v>-358933.07000476192</v>
      </c>
      <c r="E11" s="34">
        <f>N53</f>
        <v>-359161.14028742857</v>
      </c>
      <c r="F11" s="34">
        <f>O53</f>
        <v>-359161.14028742857</v>
      </c>
      <c r="G11" s="34">
        <f>P53</f>
        <v>-359161.14028742857</v>
      </c>
      <c r="K11" s="190" t="s">
        <v>254</v>
      </c>
      <c r="L11" s="125">
        <f>L6-L7-L8-L9-L10</f>
        <v>-479346.4</v>
      </c>
      <c r="O11" s="155" t="s">
        <v>255</v>
      </c>
      <c r="P11" s="21">
        <f>P10</f>
        <v>3714.5645333333337</v>
      </c>
      <c r="Q11" s="21">
        <f>P11-P10</f>
        <v>0</v>
      </c>
    </row>
    <row r="12" spans="2:17" x14ac:dyDescent="0.25">
      <c r="B12" s="34" t="s">
        <v>256</v>
      </c>
      <c r="C12" s="34"/>
      <c r="D12" s="34"/>
      <c r="E12" s="34"/>
      <c r="F12" s="34"/>
      <c r="G12" s="34"/>
      <c r="L12" s="127"/>
    </row>
    <row r="13" spans="2:17" x14ac:dyDescent="0.25">
      <c r="B13" s="34" t="s">
        <v>257</v>
      </c>
      <c r="C13" s="34"/>
      <c r="D13" s="34"/>
      <c r="E13" s="34"/>
      <c r="F13" s="34"/>
      <c r="G13" s="34"/>
      <c r="L13" s="127"/>
    </row>
    <row r="14" spans="2:17" x14ac:dyDescent="0.25">
      <c r="B14" s="34" t="s">
        <v>258</v>
      </c>
      <c r="C14" s="34"/>
      <c r="D14" s="34"/>
      <c r="E14" s="34"/>
      <c r="F14" s="34"/>
      <c r="G14" s="34"/>
      <c r="K14" s="292" t="s">
        <v>136</v>
      </c>
      <c r="L14" s="293"/>
    </row>
    <row r="15" spans="2:17" x14ac:dyDescent="0.25">
      <c r="B15" s="34" t="s">
        <v>259</v>
      </c>
      <c r="C15" s="34"/>
      <c r="D15" s="34"/>
      <c r="E15" s="34"/>
      <c r="F15" s="34"/>
      <c r="G15" s="34"/>
      <c r="K15" s="190" t="s">
        <v>240</v>
      </c>
      <c r="L15" s="125">
        <f>'Hypothèse | 3 ans'!T160</f>
        <v>65557.440000000017</v>
      </c>
    </row>
    <row r="16" spans="2:17" x14ac:dyDescent="0.25">
      <c r="B16" s="59" t="s">
        <v>260</v>
      </c>
      <c r="C16" s="59">
        <f>C10-C5</f>
        <v>-593133.87023809517</v>
      </c>
      <c r="D16" s="59">
        <f>D10-D5</f>
        <v>-359038.1100047619</v>
      </c>
      <c r="E16" s="59">
        <f>E10-E5</f>
        <v>-359269.33148742857</v>
      </c>
      <c r="F16" s="59">
        <f>F10-F5</f>
        <v>-359161.14028742857</v>
      </c>
      <c r="G16" s="59">
        <f>G10-G5</f>
        <v>-359161.14028742857</v>
      </c>
      <c r="K16" s="190" t="s">
        <v>243</v>
      </c>
      <c r="L16" s="125">
        <f>'Hypothèse | 3 ans'!T163</f>
        <v>20978.380799999999</v>
      </c>
    </row>
    <row r="17" spans="2:16" x14ac:dyDescent="0.25">
      <c r="B17" s="34" t="s">
        <v>261</v>
      </c>
      <c r="C17" s="34">
        <v>0</v>
      </c>
      <c r="D17" s="34">
        <f>C18</f>
        <v>-593133.87023809517</v>
      </c>
      <c r="E17" s="34">
        <f>D18</f>
        <v>-952171.98024285701</v>
      </c>
      <c r="F17" s="34">
        <f>E18</f>
        <v>-1311441.3117302856</v>
      </c>
      <c r="G17" s="34">
        <f>F18</f>
        <v>-1670602.4520177143</v>
      </c>
      <c r="K17" s="190" t="s">
        <v>246</v>
      </c>
      <c r="L17" s="125">
        <f>'Hypothèse | 3 ans'!T164</f>
        <v>85200</v>
      </c>
    </row>
    <row r="18" spans="2:16" x14ac:dyDescent="0.25">
      <c r="B18" s="34" t="s">
        <v>262</v>
      </c>
      <c r="C18" s="34">
        <f>C17+C16</f>
        <v>-593133.87023809517</v>
      </c>
      <c r="D18" s="34">
        <f>D17+D16</f>
        <v>-952171.98024285701</v>
      </c>
      <c r="E18" s="34">
        <f>E17+E16</f>
        <v>-1311441.3117302856</v>
      </c>
      <c r="F18" s="34">
        <f>F17+F16</f>
        <v>-1670602.4520177143</v>
      </c>
      <c r="G18" s="34">
        <f>G17+G16</f>
        <v>-2029763.5923051429</v>
      </c>
      <c r="K18" s="190" t="s">
        <v>248</v>
      </c>
      <c r="L18" s="125">
        <f>'Hypothèse | 3 ans'!T166+'Hypothèse | 3 ans'!T167</f>
        <v>430500</v>
      </c>
    </row>
    <row r="19" spans="2:16" x14ac:dyDescent="0.25">
      <c r="K19" s="191" t="s">
        <v>251</v>
      </c>
      <c r="L19" s="126">
        <f>'Hypothèse | 3 ans'!T165</f>
        <v>8200</v>
      </c>
    </row>
    <row r="20" spans="2:16" x14ac:dyDescent="0.25">
      <c r="K20" s="190" t="s">
        <v>254</v>
      </c>
      <c r="L20" s="125">
        <f>L15-L16-L17-L18-L19</f>
        <v>-479320.94079999998</v>
      </c>
    </row>
    <row r="21" spans="2:16" x14ac:dyDescent="0.25">
      <c r="B21" s="20" t="s">
        <v>263</v>
      </c>
      <c r="L21" s="127"/>
    </row>
    <row r="22" spans="2:16" x14ac:dyDescent="0.25">
      <c r="B22" s="112"/>
      <c r="C22" s="112" t="s">
        <v>48</v>
      </c>
      <c r="D22" s="112" t="s">
        <v>136</v>
      </c>
      <c r="E22" s="112" t="s">
        <v>152</v>
      </c>
      <c r="F22" s="112" t="s">
        <v>201</v>
      </c>
      <c r="G22" s="112" t="s">
        <v>236</v>
      </c>
      <c r="L22" s="127"/>
    </row>
    <row r="23" spans="2:16" x14ac:dyDescent="0.25">
      <c r="B23" s="131" t="s">
        <v>237</v>
      </c>
      <c r="C23" s="131">
        <f>SUM(C24:C29)</f>
        <v>236904.12121212122</v>
      </c>
      <c r="D23" s="131">
        <f>SUM(D24:D29)</f>
        <v>26106.094545454544</v>
      </c>
      <c r="E23" s="131">
        <f>SUM(E24:E29)</f>
        <v>25422.30029090909</v>
      </c>
      <c r="F23" s="131">
        <f>SUM(F24:F29)</f>
        <v>24627.163636363635</v>
      </c>
      <c r="G23" s="131">
        <f>SUM(G24:G29)</f>
        <v>23940.218181818178</v>
      </c>
      <c r="K23" s="292" t="s">
        <v>152</v>
      </c>
      <c r="L23" s="297"/>
      <c r="N23" s="135"/>
    </row>
    <row r="24" spans="2:16" x14ac:dyDescent="0.25">
      <c r="B24" s="21" t="s">
        <v>277</v>
      </c>
      <c r="C24" s="21">
        <v>200000</v>
      </c>
      <c r="D24" s="21"/>
      <c r="E24" s="21"/>
      <c r="F24" s="21"/>
      <c r="G24" s="21"/>
      <c r="K24" s="190" t="s">
        <v>240</v>
      </c>
      <c r="L24" s="125">
        <f>'Hypothèse | 3 ans'!T253</f>
        <v>67524.163200000039</v>
      </c>
      <c r="N24" s="135"/>
      <c r="O24" s="128"/>
    </row>
    <row r="25" spans="2:16" x14ac:dyDescent="0.25">
      <c r="B25" s="21" t="s">
        <v>238</v>
      </c>
      <c r="C25" s="21">
        <f>Q7</f>
        <v>34.66666666666697</v>
      </c>
      <c r="D25" s="21">
        <f>Q8</f>
        <v>105.03999999999951</v>
      </c>
      <c r="E25" s="21">
        <f>Q9</f>
        <v>108.19120000000066</v>
      </c>
      <c r="F25" s="21"/>
      <c r="G25" s="21"/>
      <c r="K25" s="190" t="s">
        <v>243</v>
      </c>
      <c r="L25" s="125">
        <f>'Hypothèse | 3 ans'!T254</f>
        <v>22958.215488000013</v>
      </c>
    </row>
    <row r="26" spans="2:16" x14ac:dyDescent="0.25">
      <c r="B26" s="21" t="s">
        <v>245</v>
      </c>
      <c r="C26" s="21"/>
      <c r="D26" s="21">
        <f>N33</f>
        <v>18318.545454545452</v>
      </c>
      <c r="E26" s="21">
        <f>N34</f>
        <v>18318.545454545452</v>
      </c>
      <c r="F26" s="21">
        <f>N35</f>
        <v>18318.545454545452</v>
      </c>
      <c r="G26" s="21">
        <f>N36</f>
        <v>18318.545454545452</v>
      </c>
      <c r="K26" s="190" t="s">
        <v>246</v>
      </c>
      <c r="L26" s="125">
        <f>'Hypothèse | 3 ans'!T255</f>
        <v>85200</v>
      </c>
      <c r="N26" s="298" t="s">
        <v>280</v>
      </c>
      <c r="O26" s="298"/>
      <c r="P26" s="176"/>
    </row>
    <row r="27" spans="2:16" x14ac:dyDescent="0.25">
      <c r="B27" s="84" t="s">
        <v>281</v>
      </c>
      <c r="C27" s="21">
        <f>M33*0.75</f>
        <v>6869.4545454545441</v>
      </c>
      <c r="D27" s="21">
        <f>M34*0.75</f>
        <v>6182.5090909090914</v>
      </c>
      <c r="E27" s="21">
        <f>M35*0.75</f>
        <v>5495.5636363636368</v>
      </c>
      <c r="F27" s="22">
        <f>M36*0.75</f>
        <v>4808.6181818181822</v>
      </c>
      <c r="G27" s="23">
        <f>M37*0.75</f>
        <v>4121.6727272727276</v>
      </c>
      <c r="K27" s="190" t="s">
        <v>248</v>
      </c>
      <c r="L27" s="125">
        <f>'Hypothèse | 3 ans'!T257+'Hypothèse | 3 ans'!T258</f>
        <v>430500</v>
      </c>
      <c r="N27" s="296">
        <f>176316/(1-(0.75*0.05))</f>
        <v>183185.45454545453</v>
      </c>
      <c r="O27" s="296"/>
    </row>
    <row r="28" spans="2:16" x14ac:dyDescent="0.25">
      <c r="B28" s="34" t="s">
        <v>209</v>
      </c>
      <c r="C28" s="34">
        <f>C9</f>
        <v>30000</v>
      </c>
      <c r="D28" s="21"/>
      <c r="E28" s="21"/>
      <c r="F28" s="21"/>
      <c r="G28" s="21"/>
      <c r="K28" s="191" t="s">
        <v>251</v>
      </c>
      <c r="L28" s="126">
        <f>'Hypothèse | 3 ans'!T256</f>
        <v>8200</v>
      </c>
      <c r="N28" s="296"/>
      <c r="O28" s="296"/>
    </row>
    <row r="29" spans="2:16" x14ac:dyDescent="0.25">
      <c r="B29" s="23" t="s">
        <v>282</v>
      </c>
      <c r="C29" s="27"/>
      <c r="D29" s="21">
        <v>1500</v>
      </c>
      <c r="E29" s="21">
        <v>1500</v>
      </c>
      <c r="F29" s="21">
        <v>1500</v>
      </c>
      <c r="G29" s="21">
        <v>1500</v>
      </c>
      <c r="K29" s="190" t="s">
        <v>254</v>
      </c>
      <c r="L29" s="125">
        <f>L24-L25-L26-L27-L28</f>
        <v>-479334.05228800001</v>
      </c>
    </row>
    <row r="30" spans="2:16" x14ac:dyDescent="0.25">
      <c r="B30" s="136" t="s">
        <v>250</v>
      </c>
      <c r="C30" s="132">
        <f>SUM(C31:C35)</f>
        <v>-149913.74902597402</v>
      </c>
      <c r="D30" s="132">
        <f>SUM(D31:D35)</f>
        <v>-358933.07000476192</v>
      </c>
      <c r="E30" s="132">
        <f>SUM(E31:E35)</f>
        <v>-359161.14028742857</v>
      </c>
      <c r="F30" s="132">
        <f>SUM(F31:F35)</f>
        <v>-359161.14028742857</v>
      </c>
      <c r="G30" s="132">
        <f>SUM(G31:G35)</f>
        <v>-359161.14028742857</v>
      </c>
      <c r="I30" s="128"/>
    </row>
    <row r="31" spans="2:16" x14ac:dyDescent="0.25">
      <c r="B31" s="21" t="s">
        <v>253</v>
      </c>
      <c r="C31" s="21">
        <f>L53</f>
        <v>-363099.20357142854</v>
      </c>
      <c r="D31" s="21">
        <f>M53</f>
        <v>-358933.07000476192</v>
      </c>
      <c r="E31" s="21">
        <f>N53</f>
        <v>-359161.14028742857</v>
      </c>
      <c r="F31" s="21">
        <f>O53</f>
        <v>-359161.14028742857</v>
      </c>
      <c r="G31" s="21">
        <f>P53</f>
        <v>-359161.14028742857</v>
      </c>
    </row>
    <row r="32" spans="2:16" x14ac:dyDescent="0.25">
      <c r="B32" s="21" t="s">
        <v>267</v>
      </c>
      <c r="C32" s="21"/>
      <c r="D32" s="21"/>
      <c r="E32" s="21"/>
      <c r="F32" s="21"/>
      <c r="G32" s="21"/>
      <c r="K32" s="112" t="s">
        <v>170</v>
      </c>
      <c r="L32" s="164" t="s">
        <v>268</v>
      </c>
      <c r="M32" s="164" t="s">
        <v>106</v>
      </c>
      <c r="N32" s="164" t="s">
        <v>270</v>
      </c>
      <c r="O32" s="164" t="s">
        <v>271</v>
      </c>
      <c r="P32" s="164" t="s">
        <v>272</v>
      </c>
    </row>
    <row r="33" spans="2:16" x14ac:dyDescent="0.25">
      <c r="B33" s="21" t="s">
        <v>257</v>
      </c>
      <c r="C33" s="20">
        <v>30000</v>
      </c>
      <c r="D33" s="21"/>
      <c r="E33" s="21"/>
      <c r="F33" s="21"/>
      <c r="G33" s="21"/>
      <c r="I33" s="135"/>
      <c r="K33" s="173">
        <v>1</v>
      </c>
      <c r="L33" s="21">
        <f>N27</f>
        <v>183185.45454545453</v>
      </c>
      <c r="M33" s="21">
        <f t="shared" ref="M33:M42" si="0">L33*0.05</f>
        <v>9159.2727272727261</v>
      </c>
      <c r="N33" s="21">
        <f t="shared" ref="N33:N42" si="1">$L$33/10</f>
        <v>18318.545454545452</v>
      </c>
      <c r="O33" s="21">
        <f t="shared" ref="O33:O40" si="2">M33+N33</f>
        <v>27477.818181818177</v>
      </c>
      <c r="P33" s="21">
        <f t="shared" ref="P33:P42" si="3">L33-N33</f>
        <v>164866.90909090909</v>
      </c>
    </row>
    <row r="34" spans="2:16" x14ac:dyDescent="0.25">
      <c r="B34" s="21" t="s">
        <v>258</v>
      </c>
      <c r="C34" s="21">
        <f>N27</f>
        <v>183185.45454545453</v>
      </c>
      <c r="D34" s="21"/>
      <c r="E34" s="21"/>
      <c r="F34" s="21"/>
      <c r="G34" s="21"/>
      <c r="K34" s="173">
        <v>2</v>
      </c>
      <c r="L34" s="21">
        <f t="shared" ref="L34:L42" si="4">P33</f>
        <v>164866.90909090909</v>
      </c>
      <c r="M34" s="21">
        <f t="shared" si="0"/>
        <v>8243.3454545454551</v>
      </c>
      <c r="N34" s="21">
        <f t="shared" si="1"/>
        <v>18318.545454545452</v>
      </c>
      <c r="O34" s="21">
        <f t="shared" si="2"/>
        <v>26561.890909090907</v>
      </c>
      <c r="P34" s="21">
        <f t="shared" si="3"/>
        <v>146548.36363636365</v>
      </c>
    </row>
    <row r="35" spans="2:16" x14ac:dyDescent="0.25">
      <c r="B35" s="21" t="s">
        <v>259</v>
      </c>
      <c r="C35" s="21"/>
      <c r="D35" s="21"/>
      <c r="E35" s="21"/>
      <c r="F35" s="21"/>
      <c r="G35" s="21"/>
      <c r="K35" s="173">
        <v>3</v>
      </c>
      <c r="L35" s="21">
        <f t="shared" si="4"/>
        <v>146548.36363636365</v>
      </c>
      <c r="M35" s="21">
        <f t="shared" si="0"/>
        <v>7327.4181818181823</v>
      </c>
      <c r="N35" s="21">
        <f t="shared" si="1"/>
        <v>18318.545454545452</v>
      </c>
      <c r="O35" s="21">
        <f t="shared" si="2"/>
        <v>25645.963636363635</v>
      </c>
      <c r="P35" s="21">
        <f t="shared" si="3"/>
        <v>128229.81818181819</v>
      </c>
    </row>
    <row r="36" spans="2:16" x14ac:dyDescent="0.25">
      <c r="B36" s="131" t="s">
        <v>260</v>
      </c>
      <c r="C36" s="132">
        <f>C30-C23</f>
        <v>-386817.87023809523</v>
      </c>
      <c r="D36" s="132">
        <f>D30-D23</f>
        <v>-385039.16455021646</v>
      </c>
      <c r="E36" s="132">
        <f>E30-E23</f>
        <v>-384583.44057833764</v>
      </c>
      <c r="F36" s="132">
        <f>F30-F23</f>
        <v>-383788.30392379221</v>
      </c>
      <c r="G36" s="132">
        <f>G30-G23</f>
        <v>-383101.35846924677</v>
      </c>
      <c r="K36" s="173">
        <v>4</v>
      </c>
      <c r="L36" s="21">
        <f t="shared" si="4"/>
        <v>128229.81818181819</v>
      </c>
      <c r="M36" s="21">
        <f t="shared" si="0"/>
        <v>6411.4909090909096</v>
      </c>
      <c r="N36" s="21">
        <f t="shared" si="1"/>
        <v>18318.545454545452</v>
      </c>
      <c r="O36" s="21">
        <f t="shared" si="2"/>
        <v>24730.036363636362</v>
      </c>
      <c r="P36" s="21">
        <f t="shared" si="3"/>
        <v>109911.27272727274</v>
      </c>
    </row>
    <row r="37" spans="2:16" x14ac:dyDescent="0.25">
      <c r="B37" s="21" t="s">
        <v>261</v>
      </c>
      <c r="C37" s="21">
        <v>0</v>
      </c>
      <c r="D37" s="21">
        <f>C38</f>
        <v>-386817.87023809523</v>
      </c>
      <c r="E37" s="21">
        <f>D38</f>
        <v>-771857.03478831169</v>
      </c>
      <c r="F37" s="21">
        <f>E38</f>
        <v>-1156440.4753666492</v>
      </c>
      <c r="G37" s="21">
        <f>F38</f>
        <v>-1540228.7792904414</v>
      </c>
      <c r="K37" s="174">
        <v>5</v>
      </c>
      <c r="L37" s="21">
        <f t="shared" si="4"/>
        <v>109911.27272727274</v>
      </c>
      <c r="M37" s="21">
        <f t="shared" si="0"/>
        <v>5495.5636363636368</v>
      </c>
      <c r="N37" s="21">
        <f t="shared" si="1"/>
        <v>18318.545454545452</v>
      </c>
      <c r="O37" s="21">
        <f t="shared" si="2"/>
        <v>23814.109090909089</v>
      </c>
      <c r="P37" s="21">
        <f t="shared" si="3"/>
        <v>91592.727272727279</v>
      </c>
    </row>
    <row r="38" spans="2:16" x14ac:dyDescent="0.25">
      <c r="B38" s="21" t="s">
        <v>262</v>
      </c>
      <c r="C38" s="21">
        <f>C36+C37</f>
        <v>-386817.87023809523</v>
      </c>
      <c r="D38" s="21">
        <f>D37+D36</f>
        <v>-771857.03478831169</v>
      </c>
      <c r="E38" s="21">
        <f>E36+E37</f>
        <v>-1156440.4753666492</v>
      </c>
      <c r="F38" s="21">
        <f>F37+F36</f>
        <v>-1540228.7792904414</v>
      </c>
      <c r="G38" s="21">
        <f>G36+G37</f>
        <v>-1923330.1377596883</v>
      </c>
      <c r="K38" s="175">
        <v>6</v>
      </c>
      <c r="L38" s="21">
        <f t="shared" si="4"/>
        <v>91592.727272727279</v>
      </c>
      <c r="M38" s="21">
        <f t="shared" si="0"/>
        <v>4579.636363636364</v>
      </c>
      <c r="N38" s="21">
        <f t="shared" si="1"/>
        <v>18318.545454545452</v>
      </c>
      <c r="O38" s="21">
        <f t="shared" si="2"/>
        <v>22898.181818181816</v>
      </c>
      <c r="P38" s="21">
        <f t="shared" si="3"/>
        <v>73274.181818181823</v>
      </c>
    </row>
    <row r="39" spans="2:16" x14ac:dyDescent="0.25">
      <c r="I39" s="118"/>
      <c r="K39" s="175">
        <v>7</v>
      </c>
      <c r="L39" s="21">
        <f t="shared" si="4"/>
        <v>73274.181818181823</v>
      </c>
      <c r="M39" s="21">
        <f t="shared" si="0"/>
        <v>3663.7090909090912</v>
      </c>
      <c r="N39" s="21">
        <f t="shared" si="1"/>
        <v>18318.545454545452</v>
      </c>
      <c r="O39" s="21">
        <f t="shared" si="2"/>
        <v>21982.254545454543</v>
      </c>
      <c r="P39" s="21">
        <f t="shared" si="3"/>
        <v>54955.636363636368</v>
      </c>
    </row>
    <row r="40" spans="2:16" x14ac:dyDescent="0.25">
      <c r="K40" s="173">
        <v>8</v>
      </c>
      <c r="L40" s="21">
        <f t="shared" si="4"/>
        <v>54955.636363636368</v>
      </c>
      <c r="M40" s="21">
        <f t="shared" si="0"/>
        <v>2747.7818181818184</v>
      </c>
      <c r="N40" s="21">
        <f t="shared" si="1"/>
        <v>18318.545454545452</v>
      </c>
      <c r="O40" s="21">
        <f t="shared" si="2"/>
        <v>21066.327272727271</v>
      </c>
      <c r="P40" s="21">
        <f t="shared" si="3"/>
        <v>36637.090909090912</v>
      </c>
    </row>
    <row r="41" spans="2:16" x14ac:dyDescent="0.25">
      <c r="B41" s="192" t="s">
        <v>283</v>
      </c>
      <c r="C41" s="192">
        <f>C33*0.05</f>
        <v>1500</v>
      </c>
      <c r="K41" s="173">
        <v>9</v>
      </c>
      <c r="L41" s="21">
        <f t="shared" si="4"/>
        <v>36637.090909090912</v>
      </c>
      <c r="M41" s="21">
        <f t="shared" si="0"/>
        <v>1831.8545454545456</v>
      </c>
      <c r="N41" s="21">
        <f t="shared" si="1"/>
        <v>18318.545454545452</v>
      </c>
      <c r="O41" s="21">
        <f>N41+M41</f>
        <v>20150.399999999998</v>
      </c>
      <c r="P41" s="21">
        <f t="shared" si="3"/>
        <v>18318.54545454546</v>
      </c>
    </row>
    <row r="42" spans="2:16" x14ac:dyDescent="0.25">
      <c r="B42" s="192" t="s">
        <v>284</v>
      </c>
      <c r="K42" s="173">
        <v>10</v>
      </c>
      <c r="L42" s="21">
        <f t="shared" si="4"/>
        <v>18318.54545454546</v>
      </c>
      <c r="M42" s="21">
        <f t="shared" si="0"/>
        <v>915.92727272727302</v>
      </c>
      <c r="N42" s="21">
        <f t="shared" si="1"/>
        <v>18318.545454545452</v>
      </c>
      <c r="O42" s="21">
        <f>N42+M42</f>
        <v>19234.472727272725</v>
      </c>
      <c r="P42" s="21">
        <f t="shared" si="3"/>
        <v>0</v>
      </c>
    </row>
    <row r="45" spans="2:16" ht="15.75" thickBot="1" x14ac:dyDescent="0.3"/>
    <row r="46" spans="2:16" x14ac:dyDescent="0.25">
      <c r="K46" s="120" t="s">
        <v>285</v>
      </c>
      <c r="L46" s="121" t="s">
        <v>48</v>
      </c>
      <c r="M46" s="121" t="s">
        <v>136</v>
      </c>
      <c r="N46" s="121" t="s">
        <v>152</v>
      </c>
      <c r="O46" s="121" t="s">
        <v>201</v>
      </c>
      <c r="P46" s="122" t="s">
        <v>236</v>
      </c>
    </row>
    <row r="47" spans="2:16" x14ac:dyDescent="0.25">
      <c r="K47" s="23" t="s">
        <v>254</v>
      </c>
      <c r="L47" s="23">
        <f>L11</f>
        <v>-479346.4</v>
      </c>
      <c r="M47" s="23">
        <f>L20</f>
        <v>-479320.94079999998</v>
      </c>
      <c r="N47" s="23">
        <f>$L$29</f>
        <v>-479334.05228800001</v>
      </c>
      <c r="O47" s="23">
        <f>$L$29</f>
        <v>-479334.05228800001</v>
      </c>
      <c r="P47" s="23">
        <f>$L$29</f>
        <v>-479334.05228800001</v>
      </c>
    </row>
    <row r="48" spans="2:16" x14ac:dyDescent="0.25">
      <c r="K48" s="23" t="s">
        <v>286</v>
      </c>
      <c r="L48" s="23">
        <f>'Hypothèse | 3 ans'!T82</f>
        <v>8357.2999999999993</v>
      </c>
      <c r="M48" s="23">
        <f>'Hypothèse | 3 ans'!T172</f>
        <v>3158.4700000000016</v>
      </c>
      <c r="N48" s="23">
        <f>'Hypothèse | 3 ans'!$T$263</f>
        <v>4752.2300000000005</v>
      </c>
      <c r="O48" s="23">
        <f>'Hypothèse | 3 ans'!$T$263</f>
        <v>4752.2300000000005</v>
      </c>
      <c r="P48" s="23">
        <f>'Hypothèse | 3 ans'!$T$263</f>
        <v>4752.2300000000005</v>
      </c>
    </row>
    <row r="49" spans="2:16" x14ac:dyDescent="0.25">
      <c r="K49" s="123" t="s">
        <v>253</v>
      </c>
      <c r="L49" s="123">
        <f>L47-L48</f>
        <v>-487703.7</v>
      </c>
      <c r="M49" s="123">
        <f>M47-M48</f>
        <v>-482479.41080000001</v>
      </c>
      <c r="N49" s="123">
        <f>N47-N48</f>
        <v>-484086.28228799999</v>
      </c>
      <c r="O49" s="123">
        <f>O47-O48</f>
        <v>-484086.28228799999</v>
      </c>
      <c r="P49" s="123">
        <f>P47-P48</f>
        <v>-484086.28228799999</v>
      </c>
    </row>
    <row r="50" spans="2:16" x14ac:dyDescent="0.25">
      <c r="K50" s="23" t="s">
        <v>276</v>
      </c>
      <c r="L50" s="23">
        <f>'Hypothèse | 3 ans'!T78</f>
        <v>10714.285714285714</v>
      </c>
      <c r="M50" s="23">
        <f>'Hypothèse | 3 ans'!T168</f>
        <v>11705.95238095238</v>
      </c>
      <c r="N50" s="23">
        <f>'Hypothèse | 3 ans'!$T$259</f>
        <v>15614.285714285714</v>
      </c>
      <c r="O50" s="23">
        <f>'Hypothèse | 3 ans'!$T$259</f>
        <v>15614.285714285714</v>
      </c>
      <c r="P50" s="23">
        <f>'Hypothèse | 3 ans'!$T$259</f>
        <v>15614.285714285714</v>
      </c>
    </row>
    <row r="51" spans="2:16" x14ac:dyDescent="0.25">
      <c r="K51" s="23" t="s">
        <v>278</v>
      </c>
      <c r="L51" s="23">
        <f>L49-L50</f>
        <v>-498417.98571428575</v>
      </c>
      <c r="M51" s="23">
        <f>M49-M50</f>
        <v>-494185.36318095238</v>
      </c>
      <c r="N51" s="23">
        <f>N49-N50</f>
        <v>-499700.56800228573</v>
      </c>
      <c r="O51" s="23">
        <f>O49-O50</f>
        <v>-499700.56800228573</v>
      </c>
      <c r="P51" s="23">
        <f>P49-P50</f>
        <v>-499700.56800228573</v>
      </c>
    </row>
    <row r="52" spans="2:16" x14ac:dyDescent="0.25">
      <c r="K52" s="124" t="s">
        <v>279</v>
      </c>
      <c r="L52" s="124">
        <f>L51*0.25</f>
        <v>-124604.49642857144</v>
      </c>
      <c r="M52" s="124">
        <f>M51*0.25</f>
        <v>-123546.34079523809</v>
      </c>
      <c r="N52" s="124">
        <f>N51*0.25</f>
        <v>-124925.14200057143</v>
      </c>
      <c r="O52" s="124">
        <f>O51*0.25</f>
        <v>-124925.14200057143</v>
      </c>
      <c r="P52" s="124">
        <f>P51*0.25</f>
        <v>-124925.14200057143</v>
      </c>
    </row>
    <row r="53" spans="2:16" x14ac:dyDescent="0.25">
      <c r="K53" s="123" t="s">
        <v>285</v>
      </c>
      <c r="L53" s="123">
        <f>L49-L52</f>
        <v>-363099.20357142854</v>
      </c>
      <c r="M53" s="123">
        <f>M49-M52</f>
        <v>-358933.07000476192</v>
      </c>
      <c r="N53" s="123">
        <f>N49-N52</f>
        <v>-359161.14028742857</v>
      </c>
      <c r="O53" s="123">
        <f>O49-O52</f>
        <v>-359161.14028742857</v>
      </c>
      <c r="P53" s="123">
        <f>P49-P52</f>
        <v>-359161.14028742857</v>
      </c>
    </row>
    <row r="62" spans="2:16" x14ac:dyDescent="0.25">
      <c r="B62" s="172"/>
      <c r="C62" s="172"/>
      <c r="D62" s="172"/>
      <c r="E62" s="172"/>
      <c r="F62" s="172"/>
      <c r="G62" s="172"/>
    </row>
  </sheetData>
  <mergeCells count="6">
    <mergeCell ref="N27:O28"/>
    <mergeCell ref="K5:L5"/>
    <mergeCell ref="O5:Q5"/>
    <mergeCell ref="K14:L14"/>
    <mergeCell ref="K23:L23"/>
    <mergeCell ref="N26:O26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2EAA11BA26A449B06D1B055101642A" ma:contentTypeVersion="6" ma:contentTypeDescription="Create a new document." ma:contentTypeScope="" ma:versionID="15661ae5bfe561de3d51322e6f2130d5">
  <xsd:schema xmlns:xsd="http://www.w3.org/2001/XMLSchema" xmlns:xs="http://www.w3.org/2001/XMLSchema" xmlns:p="http://schemas.microsoft.com/office/2006/metadata/properties" xmlns:ns3="ab1c159c-ba12-422e-b373-ae2e8be71455" targetNamespace="http://schemas.microsoft.com/office/2006/metadata/properties" ma:root="true" ma:fieldsID="74a48c6f583443c52106938ebe8a2589" ns3:_="">
    <xsd:import namespace="ab1c159c-ba12-422e-b373-ae2e8be71455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SearchProperties" minOccurs="0"/>
                <xsd:element ref="ns3:MediaServiceDateTaken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b1c159c-ba12-422e-b373-ae2e8be7145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_activity" ma:index="13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ab1c159c-ba12-422e-b373-ae2e8be71455" xsi:nil="true"/>
  </documentManagement>
</p:properties>
</file>

<file path=customXml/itemProps1.xml><?xml version="1.0" encoding="utf-8"?>
<ds:datastoreItem xmlns:ds="http://schemas.openxmlformats.org/officeDocument/2006/customXml" ds:itemID="{3A77DBB0-EB61-4A18-8433-C7E412B63B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b1c159c-ba12-422e-b373-ae2e8be7145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88E270F-CCA8-426A-9C69-717CEA321AD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1E9F6BE-9E4E-4878-8E27-97A400299D9D}">
  <ds:schemaRefs>
    <ds:schemaRef ds:uri="http://purl.org/dc/elements/1.1/"/>
    <ds:schemaRef ds:uri="http://schemas.microsoft.com/office/2006/documentManagement/types"/>
    <ds:schemaRef ds:uri="http://purl.org/dc/terms/"/>
    <ds:schemaRef ds:uri="http://purl.org/dc/dcmitype/"/>
    <ds:schemaRef ds:uri="http://www.w3.org/XML/1998/namespace"/>
    <ds:schemaRef ds:uri="ab1c159c-ba12-422e-b373-ae2e8be71455"/>
    <ds:schemaRef ds:uri="http://schemas.openxmlformats.org/package/2006/metadata/core-properties"/>
    <ds:schemaRef ds:uri="http://schemas.microsoft.com/office/infopath/2007/PartnerControls"/>
    <ds:schemaRef ds:uri="http://schemas.microsoft.com/office/2006/metadata/properties"/>
  </ds:schemaRefs>
</ds:datastoreItem>
</file>

<file path=docMetadata/LabelInfo.xml><?xml version="1.0" encoding="utf-8"?>
<clbl:labelList xmlns:clbl="http://schemas.microsoft.com/office/2020/mipLabelMetadata">
  <clbl:label id="{f961bd8f-451f-4163-92ae-074e98cbfae2}" enabled="0" method="" siteId="{f961bd8f-451f-4163-92ae-074e98cbfae2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23</vt:i4>
      </vt:variant>
    </vt:vector>
  </HeadingPairs>
  <TitlesOfParts>
    <vt:vector size="23" baseType="lpstr">
      <vt:lpstr>HYP 1 </vt:lpstr>
      <vt:lpstr>Bilan et CDR N</vt:lpstr>
      <vt:lpstr>Feuil1</vt:lpstr>
      <vt:lpstr>Feuil2</vt:lpstr>
      <vt:lpstr>Feuil3</vt:lpstr>
      <vt:lpstr>Budget Prev 3 années SANS PRECO</vt:lpstr>
      <vt:lpstr>Bilan et CDR N+1</vt:lpstr>
      <vt:lpstr>Bilan et CDR N+1 (2)</vt:lpstr>
      <vt:lpstr>N+2 </vt:lpstr>
      <vt:lpstr>Bilan et CDR N+2</vt:lpstr>
      <vt:lpstr>N+3</vt:lpstr>
      <vt:lpstr>Bilan et CDR N+3</vt:lpstr>
      <vt:lpstr>Emprunt</vt:lpstr>
      <vt:lpstr>Informations</vt:lpstr>
      <vt:lpstr>Hyp1</vt:lpstr>
      <vt:lpstr>Hypothèse | 2 ans</vt:lpstr>
      <vt:lpstr>Hyp | 2 ans + Crédit Bail</vt:lpstr>
      <vt:lpstr>Hyp | 2 ans + CB + Comptant</vt:lpstr>
      <vt:lpstr>Hypothèse | 3 ans</vt:lpstr>
      <vt:lpstr>Hyp | 3 ans + Crédit Bail</vt:lpstr>
      <vt:lpstr>Plan de financement</vt:lpstr>
      <vt:lpstr>Hyp retenue | 3 ans + CB+ Compt</vt:lpstr>
      <vt:lpstr>Plan de financement définitif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Malo COUGARD DUTAT</dc:creator>
  <cp:keywords/>
  <dc:description/>
  <cp:lastModifiedBy>Junaid GUL</cp:lastModifiedBy>
  <cp:revision/>
  <dcterms:created xsi:type="dcterms:W3CDTF">2025-05-04T08:19:34Z</dcterms:created>
  <dcterms:modified xsi:type="dcterms:W3CDTF">2026-06-05T07:48:09Z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0x010100A02EAA11BA26A449B06D1B055101642A</vt:lpwstr>
  </property>
</Properties>
</file>